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734B9465-B4AB-4983-BD19-60D0DAFA3C8F}" xr6:coauthVersionLast="47" xr6:coauthVersionMax="47" xr10:uidLastSave="{00000000-0000-0000-0000-000000000000}"/>
  <bookViews>
    <workbookView xWindow="-110" yWindow="-110" windowWidth="25820" windowHeight="10300" tabRatio="866" xr2:uid="{00000000-000D-0000-FFFF-FFFF00000000}"/>
  </bookViews>
  <sheets>
    <sheet name="說明" sheetId="33" r:id="rId1"/>
    <sheet name="個案背景設定" sheetId="9" r:id="rId2"/>
    <sheet name="理財目標費用終值" sheetId="8" r:id="rId3"/>
    <sheet name="資產負債表" sheetId="1" r:id="rId4"/>
    <sheet name="損益表" sheetId="2" r:id="rId5"/>
    <sheet name="終生收支線" sheetId="10" r:id="rId6"/>
    <sheet name="省著點花" sheetId="11" r:id="rId7"/>
    <sheet name="延後買車" sheetId="12" r:id="rId8"/>
    <sheet name="現金預算" sheetId="13" r:id="rId9"/>
    <sheet name="每月收支" sheetId="6" r:id="rId10"/>
    <sheet name="一年後" sheetId="23" r:id="rId11"/>
    <sheet name="壓力_勞退勞保降低" sheetId="27" r:id="rId12"/>
    <sheet name="壓力_保險金詐騙" sheetId="28" r:id="rId13"/>
    <sheet name="壓力_女兒啃老" sheetId="29" r:id="rId14"/>
    <sheet name="壓力_先生轉職" sheetId="30" r:id="rId15"/>
    <sheet name="測試_投資報酬增加" sheetId="31" r:id="rId16"/>
    <sheet name="壓力_先生受傷" sheetId="32" r:id="rId17"/>
    <sheet name="表格製作示範" sheetId="24" r:id="rId18"/>
    <sheet name="表格製作示範(空白)" sheetId="26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3" i="31" l="1"/>
  <c r="AM14" i="31"/>
  <c r="AM13" i="31"/>
  <c r="AM12" i="31"/>
  <c r="AM11" i="31"/>
  <c r="AM10" i="31"/>
  <c r="AM9" i="31"/>
  <c r="AM8" i="31"/>
  <c r="AM7" i="31"/>
  <c r="AJ7" i="32"/>
  <c r="AJ8" i="32"/>
  <c r="AJ9" i="32"/>
  <c r="AJ10" i="32"/>
  <c r="AJ11" i="32"/>
  <c r="AJ12" i="32"/>
  <c r="AJ13" i="32"/>
  <c r="AJ14" i="32"/>
  <c r="AK23" i="30"/>
  <c r="AK14" i="30"/>
  <c r="AK13" i="30"/>
  <c r="AK12" i="30"/>
  <c r="AK11" i="30"/>
  <c r="AK10" i="30"/>
  <c r="AK9" i="30"/>
  <c r="AK8" i="30"/>
  <c r="AK7" i="30"/>
  <c r="AK23" i="29"/>
  <c r="AK14" i="29"/>
  <c r="AK13" i="29"/>
  <c r="AK12" i="29"/>
  <c r="AK11" i="29"/>
  <c r="AK10" i="29"/>
  <c r="AK9" i="29"/>
  <c r="AK8" i="29"/>
  <c r="AK7" i="29"/>
  <c r="AJ23" i="32"/>
  <c r="AJ23" i="28"/>
  <c r="AJ14" i="28"/>
  <c r="AJ13" i="28"/>
  <c r="AJ12" i="28"/>
  <c r="AJ11" i="28"/>
  <c r="AJ10" i="28"/>
  <c r="AJ9" i="28"/>
  <c r="AJ8" i="28"/>
  <c r="AJ7" i="28"/>
  <c r="AJ23" i="27"/>
  <c r="AJ14" i="27"/>
  <c r="AJ13" i="27"/>
  <c r="AJ12" i="27"/>
  <c r="AJ11" i="27"/>
  <c r="AJ10" i="27"/>
  <c r="AJ9" i="27"/>
  <c r="AJ8" i="27"/>
  <c r="AJ7" i="27"/>
  <c r="Q28" i="27"/>
  <c r="P28" i="27"/>
  <c r="AL28" i="32"/>
  <c r="AI29" i="32"/>
  <c r="Q29" i="32"/>
  <c r="Q30" i="32" s="1"/>
  <c r="Q31" i="32" s="1"/>
  <c r="Q32" i="32" s="1"/>
  <c r="Q33" i="32" s="1"/>
  <c r="Q34" i="32" s="1"/>
  <c r="Q35" i="32" s="1"/>
  <c r="Q36" i="32" s="1"/>
  <c r="Q37" i="32" s="1"/>
  <c r="Q38" i="32" s="1"/>
  <c r="Q39" i="32" s="1"/>
  <c r="Q40" i="32" s="1"/>
  <c r="Q41" i="32" s="1"/>
  <c r="Q42" i="32" s="1"/>
  <c r="Q43" i="32" s="1"/>
  <c r="Q44" i="32" s="1"/>
  <c r="Q45" i="32" s="1"/>
  <c r="Q46" i="32" s="1"/>
  <c r="Q47" i="32" s="1"/>
  <c r="Q48" i="32" s="1"/>
  <c r="Q49" i="32" s="1"/>
  <c r="Q50" i="32" s="1"/>
  <c r="Q51" i="32" s="1"/>
  <c r="Q52" i="32" s="1"/>
  <c r="Q53" i="32" s="1"/>
  <c r="P29" i="32"/>
  <c r="P30" i="32" s="1"/>
  <c r="P31" i="32" s="1"/>
  <c r="P32" i="32" s="1"/>
  <c r="P33" i="32" s="1"/>
  <c r="P34" i="32" s="1"/>
  <c r="P35" i="32" s="1"/>
  <c r="P36" i="32" s="1"/>
  <c r="P37" i="32" s="1"/>
  <c r="P38" i="32" s="1"/>
  <c r="P39" i="32" s="1"/>
  <c r="P40" i="32" s="1"/>
  <c r="P41" i="32" s="1"/>
  <c r="P42" i="32" s="1"/>
  <c r="P43" i="32" s="1"/>
  <c r="P44" i="32" s="1"/>
  <c r="P45" i="32" s="1"/>
  <c r="P46" i="32" s="1"/>
  <c r="P47" i="32" s="1"/>
  <c r="P48" i="32" s="1"/>
  <c r="P49" i="32" s="1"/>
  <c r="P50" i="32" s="1"/>
  <c r="P51" i="32" s="1"/>
  <c r="P52" i="32" s="1"/>
  <c r="P53" i="32" s="1"/>
  <c r="AQ27" i="32"/>
  <c r="AQ26" i="32"/>
  <c r="AQ25" i="32"/>
  <c r="Y25" i="32"/>
  <c r="Y26" i="32" s="1"/>
  <c r="AQ24" i="32"/>
  <c r="Y24" i="32"/>
  <c r="AQ23" i="32"/>
  <c r="AG23" i="32"/>
  <c r="Y23" i="32"/>
  <c r="W23" i="32"/>
  <c r="W24" i="32" s="1"/>
  <c r="AQ22" i="32"/>
  <c r="AH22" i="32"/>
  <c r="AG22" i="32"/>
  <c r="AD22" i="32"/>
  <c r="AD23" i="32" s="1"/>
  <c r="AD24" i="32" s="1"/>
  <c r="AD25" i="32" s="1"/>
  <c r="AD26" i="32" s="1"/>
  <c r="Y22" i="32"/>
  <c r="W22" i="32"/>
  <c r="AQ21" i="32"/>
  <c r="AG21" i="32"/>
  <c r="AQ20" i="32"/>
  <c r="AH20" i="32"/>
  <c r="AG20" i="32"/>
  <c r="AQ19" i="32"/>
  <c r="AG19" i="32"/>
  <c r="Y19" i="32"/>
  <c r="Y20" i="32" s="1"/>
  <c r="W19" i="32"/>
  <c r="W20" i="32" s="1"/>
  <c r="AQ18" i="32"/>
  <c r="AH18" i="32"/>
  <c r="AG18" i="32"/>
  <c r="Y18" i="32"/>
  <c r="W18" i="32"/>
  <c r="AQ17" i="32"/>
  <c r="AG17" i="32"/>
  <c r="Y17" i="32"/>
  <c r="W17" i="32"/>
  <c r="AQ16" i="32"/>
  <c r="AH16" i="32"/>
  <c r="AG16" i="32"/>
  <c r="AD16" i="32"/>
  <c r="AD17" i="32" s="1"/>
  <c r="AD18" i="32" s="1"/>
  <c r="AD19" i="32" s="1"/>
  <c r="AD20" i="32" s="1"/>
  <c r="Y16" i="32"/>
  <c r="W16" i="32"/>
  <c r="AQ15" i="32"/>
  <c r="AG15" i="32"/>
  <c r="AQ14" i="32"/>
  <c r="AH14" i="32"/>
  <c r="AG14" i="32"/>
  <c r="AQ13" i="32"/>
  <c r="AG13" i="32"/>
  <c r="Y13" i="32"/>
  <c r="Y14" i="32" s="1"/>
  <c r="AQ12" i="32"/>
  <c r="AH12" i="32"/>
  <c r="Y12" i="32"/>
  <c r="AQ11" i="32"/>
  <c r="Y11" i="32"/>
  <c r="AQ10" i="32"/>
  <c r="AH10" i="32"/>
  <c r="AD10" i="32"/>
  <c r="AD11" i="32" s="1"/>
  <c r="AD12" i="32" s="1"/>
  <c r="AD13" i="32" s="1"/>
  <c r="AD14" i="32" s="1"/>
  <c r="Y10" i="32"/>
  <c r="W10" i="32"/>
  <c r="W11" i="32" s="1"/>
  <c r="AQ9" i="32"/>
  <c r="AQ8" i="32"/>
  <c r="AH8" i="32"/>
  <c r="AQ7" i="32"/>
  <c r="AE7" i="32"/>
  <c r="AE8" i="32" s="1"/>
  <c r="AE9" i="32" s="1"/>
  <c r="AE10" i="32" s="1"/>
  <c r="AE11" i="32" s="1"/>
  <c r="AE12" i="32" s="1"/>
  <c r="AE13" i="32" s="1"/>
  <c r="AE14" i="32" s="1"/>
  <c r="AE15" i="32" s="1"/>
  <c r="AE16" i="32" s="1"/>
  <c r="AE17" i="32" s="1"/>
  <c r="AE18" i="32" s="1"/>
  <c r="AE19" i="32" s="1"/>
  <c r="AE20" i="32" s="1"/>
  <c r="AE21" i="32" s="1"/>
  <c r="AE22" i="32" s="1"/>
  <c r="AE23" i="32" s="1"/>
  <c r="AE24" i="32" s="1"/>
  <c r="AE25" i="32" s="1"/>
  <c r="AE26" i="32" s="1"/>
  <c r="AE27" i="32" s="1"/>
  <c r="AD7" i="32"/>
  <c r="AD8" i="32" s="1"/>
  <c r="AQ6" i="32"/>
  <c r="AH6" i="32"/>
  <c r="AE6" i="32"/>
  <c r="AD6" i="32"/>
  <c r="Z6" i="32"/>
  <c r="Z7" i="32" s="1"/>
  <c r="Z8" i="32" s="1"/>
  <c r="Z9" i="32" s="1"/>
  <c r="Y6" i="32"/>
  <c r="Y7" i="32" s="1"/>
  <c r="Y8" i="32" s="1"/>
  <c r="AT5" i="32"/>
  <c r="AT6" i="32" s="1"/>
  <c r="AT7" i="32" s="1"/>
  <c r="AT8" i="32" s="1"/>
  <c r="AT9" i="32" s="1"/>
  <c r="AT10" i="32" s="1"/>
  <c r="AT11" i="32" s="1"/>
  <c r="AT12" i="32" s="1"/>
  <c r="AT13" i="32" s="1"/>
  <c r="AT14" i="32" s="1"/>
  <c r="AT15" i="32" s="1"/>
  <c r="AT16" i="32" s="1"/>
  <c r="AT17" i="32" s="1"/>
  <c r="AT18" i="32" s="1"/>
  <c r="AT19" i="32" s="1"/>
  <c r="AT20" i="32" s="1"/>
  <c r="AT21" i="32" s="1"/>
  <c r="AT22" i="32" s="1"/>
  <c r="AT23" i="32" s="1"/>
  <c r="AT24" i="32" s="1"/>
  <c r="AT25" i="32" s="1"/>
  <c r="AT26" i="32" s="1"/>
  <c r="AT27" i="32" s="1"/>
  <c r="T28" i="32" s="1"/>
  <c r="AQ5" i="32"/>
  <c r="AE5" i="32"/>
  <c r="AD5" i="32"/>
  <c r="Z5" i="32"/>
  <c r="Y5" i="32"/>
  <c r="O5" i="32"/>
  <c r="O6" i="32" s="1"/>
  <c r="O7" i="32" s="1"/>
  <c r="O8" i="32" s="1"/>
  <c r="O9" i="32" s="1"/>
  <c r="O10" i="32" s="1"/>
  <c r="O11" i="32" s="1"/>
  <c r="O12" i="32" s="1"/>
  <c r="O13" i="32" s="1"/>
  <c r="O14" i="32" s="1"/>
  <c r="O15" i="32" s="1"/>
  <c r="O16" i="32" s="1"/>
  <c r="O17" i="32" s="1"/>
  <c r="O18" i="32" s="1"/>
  <c r="O19" i="32" s="1"/>
  <c r="O20" i="32" s="1"/>
  <c r="O21" i="32" s="1"/>
  <c r="O22" i="32" s="1"/>
  <c r="O23" i="32" s="1"/>
  <c r="O24" i="32" s="1"/>
  <c r="O25" i="32" s="1"/>
  <c r="O26" i="32" s="1"/>
  <c r="O27" i="32" s="1"/>
  <c r="O28" i="32" s="1"/>
  <c r="O29" i="32" s="1"/>
  <c r="O30" i="32" s="1"/>
  <c r="O31" i="32" s="1"/>
  <c r="O32" i="32" s="1"/>
  <c r="O33" i="32" s="1"/>
  <c r="O34" i="32" s="1"/>
  <c r="O35" i="32" s="1"/>
  <c r="O36" i="32" s="1"/>
  <c r="O37" i="32" s="1"/>
  <c r="O38" i="32" s="1"/>
  <c r="O39" i="32" s="1"/>
  <c r="O40" i="32" s="1"/>
  <c r="O41" i="32" s="1"/>
  <c r="O42" i="32" s="1"/>
  <c r="O43" i="32" s="1"/>
  <c r="O44" i="32" s="1"/>
  <c r="O45" i="32" s="1"/>
  <c r="O46" i="32" s="1"/>
  <c r="O47" i="32" s="1"/>
  <c r="O48" i="32" s="1"/>
  <c r="O49" i="32" s="1"/>
  <c r="O50" i="32" s="1"/>
  <c r="O51" i="32" s="1"/>
  <c r="O52" i="32" s="1"/>
  <c r="O53" i="32" s="1"/>
  <c r="M5" i="32"/>
  <c r="M6" i="32" s="1"/>
  <c r="M7" i="32" s="1"/>
  <c r="M8" i="32" s="1"/>
  <c r="M9" i="32" s="1"/>
  <c r="M10" i="32" s="1"/>
  <c r="M11" i="32" s="1"/>
  <c r="M12" i="32" s="1"/>
  <c r="M13" i="32" s="1"/>
  <c r="M14" i="32" s="1"/>
  <c r="M15" i="32" s="1"/>
  <c r="M16" i="32" s="1"/>
  <c r="M17" i="32" s="1"/>
  <c r="M18" i="32" s="1"/>
  <c r="M19" i="32" s="1"/>
  <c r="M20" i="32" s="1"/>
  <c r="M21" i="32" s="1"/>
  <c r="M22" i="32" s="1"/>
  <c r="M23" i="32" s="1"/>
  <c r="M24" i="32" s="1"/>
  <c r="M25" i="32" s="1"/>
  <c r="M26" i="32" s="1"/>
  <c r="M27" i="32" s="1"/>
  <c r="AT4" i="32"/>
  <c r="AQ4" i="32"/>
  <c r="AS4" i="32" s="1"/>
  <c r="AS5" i="32" s="1"/>
  <c r="AS6" i="32" s="1"/>
  <c r="AS7" i="32" s="1"/>
  <c r="AS8" i="32" s="1"/>
  <c r="AS9" i="32" s="1"/>
  <c r="AS10" i="32" s="1"/>
  <c r="AS11" i="32" s="1"/>
  <c r="AS12" i="32" s="1"/>
  <c r="AS13" i="32" s="1"/>
  <c r="AS14" i="32" s="1"/>
  <c r="AS15" i="32" s="1"/>
  <c r="AS16" i="32" s="1"/>
  <c r="AS17" i="32" s="1"/>
  <c r="AS18" i="32" s="1"/>
  <c r="AS19" i="32" s="1"/>
  <c r="AS20" i="32" s="1"/>
  <c r="AS21" i="32" s="1"/>
  <c r="AS22" i="32" s="1"/>
  <c r="AS23" i="32" s="1"/>
  <c r="AS24" i="32" s="1"/>
  <c r="AS25" i="32" s="1"/>
  <c r="AS26" i="32" s="1"/>
  <c r="AS27" i="32" s="1"/>
  <c r="S28" i="32" s="1"/>
  <c r="S29" i="32" s="1"/>
  <c r="S30" i="32" s="1"/>
  <c r="S31" i="32" s="1"/>
  <c r="S32" i="32" s="1"/>
  <c r="S33" i="32" s="1"/>
  <c r="S34" i="32" s="1"/>
  <c r="S35" i="32" s="1"/>
  <c r="S36" i="32" s="1"/>
  <c r="S37" i="32" s="1"/>
  <c r="S38" i="32" s="1"/>
  <c r="S39" i="32" s="1"/>
  <c r="S40" i="32" s="1"/>
  <c r="S41" i="32" s="1"/>
  <c r="S42" i="32" s="1"/>
  <c r="S43" i="32" s="1"/>
  <c r="S44" i="32" s="1"/>
  <c r="S45" i="32" s="1"/>
  <c r="S46" i="32" s="1"/>
  <c r="S47" i="32" s="1"/>
  <c r="AH4" i="32"/>
  <c r="AF4" i="32"/>
  <c r="AF5" i="32" s="1"/>
  <c r="AF6" i="32" s="1"/>
  <c r="AF7" i="32" s="1"/>
  <c r="AF8" i="32" s="1"/>
  <c r="AF9" i="32" s="1"/>
  <c r="AE4" i="32"/>
  <c r="AD4" i="32"/>
  <c r="Z4" i="32"/>
  <c r="Y4" i="32"/>
  <c r="W4" i="32"/>
  <c r="W5" i="32" s="1"/>
  <c r="O4" i="32"/>
  <c r="M4" i="32"/>
  <c r="L4" i="32"/>
  <c r="L5" i="32" s="1"/>
  <c r="J4" i="32"/>
  <c r="AM3" i="32"/>
  <c r="AL3" i="32"/>
  <c r="U3" i="32"/>
  <c r="S29" i="31"/>
  <c r="S30" i="31" s="1"/>
  <c r="S31" i="31" s="1"/>
  <c r="S32" i="31" s="1"/>
  <c r="S33" i="31" s="1"/>
  <c r="S34" i="31" s="1"/>
  <c r="S35" i="31" s="1"/>
  <c r="S36" i="31" s="1"/>
  <c r="S37" i="31" s="1"/>
  <c r="S38" i="31" s="1"/>
  <c r="S39" i="31" s="1"/>
  <c r="S40" i="31" s="1"/>
  <c r="S41" i="31" s="1"/>
  <c r="S42" i="31" s="1"/>
  <c r="S43" i="31" s="1"/>
  <c r="S44" i="31" s="1"/>
  <c r="S45" i="31" s="1"/>
  <c r="S46" i="31" s="1"/>
  <c r="S47" i="31" s="1"/>
  <c r="S48" i="31" s="1"/>
  <c r="S49" i="31" s="1"/>
  <c r="S50" i="31" s="1"/>
  <c r="S51" i="31" s="1"/>
  <c r="S52" i="31" s="1"/>
  <c r="S53" i="31" s="1"/>
  <c r="R29" i="31"/>
  <c r="R30" i="31" s="1"/>
  <c r="R31" i="31" s="1"/>
  <c r="R32" i="31" s="1"/>
  <c r="R33" i="31" s="1"/>
  <c r="R34" i="31" s="1"/>
  <c r="R35" i="31" s="1"/>
  <c r="R36" i="31" s="1"/>
  <c r="R37" i="31" s="1"/>
  <c r="R38" i="31" s="1"/>
  <c r="R39" i="31" s="1"/>
  <c r="R40" i="31" s="1"/>
  <c r="R41" i="31" s="1"/>
  <c r="R42" i="31" s="1"/>
  <c r="R43" i="31" s="1"/>
  <c r="R44" i="31" s="1"/>
  <c r="R45" i="31" s="1"/>
  <c r="R46" i="31" s="1"/>
  <c r="R47" i="31" s="1"/>
  <c r="R48" i="31" s="1"/>
  <c r="R49" i="31" s="1"/>
  <c r="R50" i="31" s="1"/>
  <c r="R51" i="31" s="1"/>
  <c r="R52" i="31" s="1"/>
  <c r="R53" i="31" s="1"/>
  <c r="AL29" i="31"/>
  <c r="AU27" i="31"/>
  <c r="AU26" i="31"/>
  <c r="AU25" i="31"/>
  <c r="AU24" i="31"/>
  <c r="AB24" i="31"/>
  <c r="AB25" i="31" s="1"/>
  <c r="AB26" i="31" s="1"/>
  <c r="AU23" i="31"/>
  <c r="AJ23" i="31"/>
  <c r="AU22" i="31"/>
  <c r="AJ22" i="31"/>
  <c r="AB22" i="31"/>
  <c r="AB23" i="31" s="1"/>
  <c r="Z22" i="31"/>
  <c r="Z23" i="31" s="1"/>
  <c r="Z24" i="31" s="1"/>
  <c r="AU21" i="31"/>
  <c r="AJ21" i="31"/>
  <c r="AU20" i="31"/>
  <c r="AJ20" i="31"/>
  <c r="AU19" i="31"/>
  <c r="AJ19" i="31"/>
  <c r="AU18" i="31"/>
  <c r="AJ18" i="31"/>
  <c r="AU17" i="31"/>
  <c r="AJ17" i="31"/>
  <c r="AU16" i="31"/>
  <c r="AJ16" i="31"/>
  <c r="AB16" i="31"/>
  <c r="AB17" i="31" s="1"/>
  <c r="AB18" i="31" s="1"/>
  <c r="AB19" i="31" s="1"/>
  <c r="AB20" i="31" s="1"/>
  <c r="Z16" i="31"/>
  <c r="AU15" i="31"/>
  <c r="AJ15" i="31"/>
  <c r="AU14" i="31"/>
  <c r="AJ14" i="31"/>
  <c r="AU13" i="31"/>
  <c r="AJ13" i="31"/>
  <c r="AU12" i="31"/>
  <c r="AU11" i="31"/>
  <c r="AU10" i="31"/>
  <c r="AB10" i="31"/>
  <c r="AB11" i="31" s="1"/>
  <c r="AB12" i="31" s="1"/>
  <c r="AB13" i="31" s="1"/>
  <c r="AB14" i="31" s="1"/>
  <c r="Z10" i="31"/>
  <c r="Z11" i="31" s="1"/>
  <c r="AU9" i="31"/>
  <c r="AU8" i="31"/>
  <c r="AU7" i="31"/>
  <c r="AU6" i="31"/>
  <c r="AU5" i="31"/>
  <c r="AX4" i="31"/>
  <c r="AX5" i="31" s="1"/>
  <c r="AX6" i="31" s="1"/>
  <c r="AX7" i="31" s="1"/>
  <c r="AX8" i="31" s="1"/>
  <c r="AX9" i="31" s="1"/>
  <c r="AX10" i="31" s="1"/>
  <c r="AX11" i="31" s="1"/>
  <c r="AX12" i="31" s="1"/>
  <c r="AX13" i="31" s="1"/>
  <c r="AX14" i="31" s="1"/>
  <c r="AX15" i="31" s="1"/>
  <c r="AX16" i="31" s="1"/>
  <c r="AX17" i="31" s="1"/>
  <c r="AX18" i="31" s="1"/>
  <c r="AX19" i="31" s="1"/>
  <c r="AX20" i="31" s="1"/>
  <c r="AX21" i="31" s="1"/>
  <c r="AX22" i="31" s="1"/>
  <c r="AX23" i="31" s="1"/>
  <c r="AX24" i="31" s="1"/>
  <c r="AX25" i="31" s="1"/>
  <c r="AX26" i="31" s="1"/>
  <c r="AX27" i="31" s="1"/>
  <c r="V28" i="31" s="1"/>
  <c r="AU4" i="31"/>
  <c r="AW4" i="31" s="1"/>
  <c r="AW5" i="31" s="1"/>
  <c r="AK4" i="31"/>
  <c r="AK5" i="31" s="1"/>
  <c r="AK6" i="31" s="1"/>
  <c r="AK7" i="31" s="1"/>
  <c r="AK8" i="31" s="1"/>
  <c r="AK9" i="31" s="1"/>
  <c r="AK10" i="31" s="1"/>
  <c r="AK11" i="31" s="1"/>
  <c r="AK12" i="31" s="1"/>
  <c r="AK13" i="31" s="1"/>
  <c r="AK14" i="31" s="1"/>
  <c r="AK15" i="31" s="1"/>
  <c r="AK16" i="31" s="1"/>
  <c r="AK17" i="31" s="1"/>
  <c r="AK18" i="31" s="1"/>
  <c r="AK19" i="31" s="1"/>
  <c r="AK20" i="31" s="1"/>
  <c r="AK21" i="31" s="1"/>
  <c r="AK22" i="31" s="1"/>
  <c r="AK23" i="31" s="1"/>
  <c r="AI4" i="31"/>
  <c r="AI5" i="31" s="1"/>
  <c r="AI6" i="31" s="1"/>
  <c r="AI7" i="31" s="1"/>
  <c r="AI8" i="31" s="1"/>
  <c r="AI9" i="31" s="1"/>
  <c r="AH4" i="31"/>
  <c r="AH5" i="31" s="1"/>
  <c r="AH6" i="31" s="1"/>
  <c r="AH7" i="31" s="1"/>
  <c r="AH8" i="31" s="1"/>
  <c r="AH9" i="31" s="1"/>
  <c r="AH10" i="31" s="1"/>
  <c r="AH11" i="31" s="1"/>
  <c r="AH12" i="31" s="1"/>
  <c r="AH13" i="31" s="1"/>
  <c r="AH14" i="31" s="1"/>
  <c r="AH15" i="31" s="1"/>
  <c r="AH16" i="31" s="1"/>
  <c r="AH17" i="31" s="1"/>
  <c r="AH18" i="31" s="1"/>
  <c r="AH19" i="31" s="1"/>
  <c r="AH20" i="31" s="1"/>
  <c r="AH21" i="31" s="1"/>
  <c r="AH22" i="31" s="1"/>
  <c r="AH23" i="31" s="1"/>
  <c r="AH24" i="31" s="1"/>
  <c r="AH25" i="31" s="1"/>
  <c r="AH26" i="31" s="1"/>
  <c r="AH27" i="31" s="1"/>
  <c r="AG4" i="31"/>
  <c r="AG5" i="31" s="1"/>
  <c r="AG6" i="31" s="1"/>
  <c r="AG7" i="31" s="1"/>
  <c r="AG8" i="31" s="1"/>
  <c r="AG9" i="31" s="1"/>
  <c r="AG10" i="31" s="1"/>
  <c r="AG11" i="31" s="1"/>
  <c r="AG12" i="31" s="1"/>
  <c r="AG13" i="31" s="1"/>
  <c r="AG14" i="31" s="1"/>
  <c r="AG15" i="31" s="1"/>
  <c r="AG16" i="31" s="1"/>
  <c r="AG17" i="31" s="1"/>
  <c r="AG18" i="31" s="1"/>
  <c r="AG19" i="31" s="1"/>
  <c r="AG20" i="31" s="1"/>
  <c r="AG21" i="31" s="1"/>
  <c r="AG22" i="31" s="1"/>
  <c r="AG23" i="31" s="1"/>
  <c r="AG24" i="31" s="1"/>
  <c r="AG25" i="31" s="1"/>
  <c r="AG26" i="31" s="1"/>
  <c r="AG27" i="31" s="1"/>
  <c r="AC4" i="31"/>
  <c r="AC5" i="31" s="1"/>
  <c r="AC6" i="31" s="1"/>
  <c r="AC7" i="31" s="1"/>
  <c r="AC8" i="31" s="1"/>
  <c r="AC9" i="31" s="1"/>
  <c r="AB4" i="31"/>
  <c r="AB5" i="31" s="1"/>
  <c r="AB6" i="31" s="1"/>
  <c r="AB7" i="31" s="1"/>
  <c r="AB8" i="31" s="1"/>
  <c r="Z4" i="31"/>
  <c r="Z5" i="31" s="1"/>
  <c r="Z6" i="31" s="1"/>
  <c r="Q4" i="31"/>
  <c r="Q5" i="31" s="1"/>
  <c r="Q6" i="31" s="1"/>
  <c r="Q7" i="31" s="1"/>
  <c r="Q8" i="31" s="1"/>
  <c r="Q9" i="31" s="1"/>
  <c r="Q10" i="31" s="1"/>
  <c r="Q11" i="31" s="1"/>
  <c r="Q12" i="31" s="1"/>
  <c r="Q13" i="31" s="1"/>
  <c r="Q14" i="31" s="1"/>
  <c r="Q15" i="31" s="1"/>
  <c r="Q16" i="31" s="1"/>
  <c r="Q17" i="31" s="1"/>
  <c r="Q18" i="31" s="1"/>
  <c r="Q19" i="31" s="1"/>
  <c r="Q20" i="31" s="1"/>
  <c r="Q21" i="31" s="1"/>
  <c r="Q22" i="31" s="1"/>
  <c r="Q23" i="31" s="1"/>
  <c r="Q24" i="31" s="1"/>
  <c r="Q25" i="31" s="1"/>
  <c r="Q26" i="31" s="1"/>
  <c r="Q27" i="31" s="1"/>
  <c r="Q28" i="31" s="1"/>
  <c r="Q29" i="31" s="1"/>
  <c r="Q30" i="31" s="1"/>
  <c r="Q31" i="31" s="1"/>
  <c r="Q32" i="31" s="1"/>
  <c r="Q33" i="31" s="1"/>
  <c r="Q34" i="31" s="1"/>
  <c r="Q35" i="31" s="1"/>
  <c r="Q36" i="31" s="1"/>
  <c r="Q37" i="31" s="1"/>
  <c r="Q38" i="31" s="1"/>
  <c r="Q39" i="31" s="1"/>
  <c r="Q40" i="31" s="1"/>
  <c r="Q41" i="31" s="1"/>
  <c r="Q42" i="31" s="1"/>
  <c r="Q43" i="31" s="1"/>
  <c r="Q44" i="31" s="1"/>
  <c r="Q45" i="31" s="1"/>
  <c r="Q46" i="31" s="1"/>
  <c r="Q47" i="31" s="1"/>
  <c r="Q48" i="31" s="1"/>
  <c r="Q49" i="31" s="1"/>
  <c r="Q50" i="31" s="1"/>
  <c r="Q51" i="31" s="1"/>
  <c r="Q52" i="31" s="1"/>
  <c r="Q53" i="31" s="1"/>
  <c r="O4" i="31"/>
  <c r="O5" i="31" s="1"/>
  <c r="O6" i="31" s="1"/>
  <c r="O7" i="31" s="1"/>
  <c r="O8" i="31" s="1"/>
  <c r="O9" i="31" s="1"/>
  <c r="O10" i="31" s="1"/>
  <c r="O11" i="31" s="1"/>
  <c r="O12" i="31" s="1"/>
  <c r="O13" i="31" s="1"/>
  <c r="O14" i="31" s="1"/>
  <c r="O15" i="31" s="1"/>
  <c r="O16" i="31" s="1"/>
  <c r="O17" i="31" s="1"/>
  <c r="O18" i="31" s="1"/>
  <c r="O19" i="31" s="1"/>
  <c r="O20" i="31" s="1"/>
  <c r="O21" i="31" s="1"/>
  <c r="O22" i="31" s="1"/>
  <c r="O23" i="31" s="1"/>
  <c r="O24" i="31" s="1"/>
  <c r="O25" i="31" s="1"/>
  <c r="O26" i="31" s="1"/>
  <c r="O27" i="31" s="1"/>
  <c r="N4" i="31"/>
  <c r="AT4" i="31" s="1"/>
  <c r="AV4" i="31" s="1"/>
  <c r="J4" i="31"/>
  <c r="P4" i="31" s="1"/>
  <c r="AR3" i="31"/>
  <c r="K4" i="31" s="1"/>
  <c r="AO3" i="31"/>
  <c r="X3" i="31"/>
  <c r="W3" i="31"/>
  <c r="R29" i="30"/>
  <c r="R30" i="30" s="1"/>
  <c r="R31" i="30" s="1"/>
  <c r="R32" i="30" s="1"/>
  <c r="R33" i="30" s="1"/>
  <c r="R34" i="30" s="1"/>
  <c r="R35" i="30" s="1"/>
  <c r="R36" i="30" s="1"/>
  <c r="R37" i="30" s="1"/>
  <c r="R38" i="30" s="1"/>
  <c r="R39" i="30" s="1"/>
  <c r="R40" i="30" s="1"/>
  <c r="R41" i="30" s="1"/>
  <c r="R42" i="30" s="1"/>
  <c r="R43" i="30" s="1"/>
  <c r="R44" i="30" s="1"/>
  <c r="R45" i="30" s="1"/>
  <c r="R46" i="30" s="1"/>
  <c r="R47" i="30" s="1"/>
  <c r="R48" i="30" s="1"/>
  <c r="R49" i="30" s="1"/>
  <c r="R50" i="30" s="1"/>
  <c r="R51" i="30" s="1"/>
  <c r="R52" i="30" s="1"/>
  <c r="R53" i="30" s="1"/>
  <c r="AM28" i="30"/>
  <c r="Q29" i="30"/>
  <c r="Q30" i="30" s="1"/>
  <c r="Q31" i="30" s="1"/>
  <c r="Q32" i="30" s="1"/>
  <c r="Q33" i="30" s="1"/>
  <c r="Q34" i="30" s="1"/>
  <c r="Q35" i="30" s="1"/>
  <c r="Q36" i="30" s="1"/>
  <c r="Q37" i="30" s="1"/>
  <c r="Q38" i="30" s="1"/>
  <c r="Q39" i="30" s="1"/>
  <c r="Q40" i="30" s="1"/>
  <c r="Q41" i="30" s="1"/>
  <c r="Q42" i="30" s="1"/>
  <c r="Q43" i="30" s="1"/>
  <c r="Q44" i="30" s="1"/>
  <c r="Q45" i="30" s="1"/>
  <c r="Q46" i="30" s="1"/>
  <c r="Q47" i="30" s="1"/>
  <c r="Q48" i="30" s="1"/>
  <c r="Q49" i="30" s="1"/>
  <c r="Q50" i="30" s="1"/>
  <c r="Q51" i="30" s="1"/>
  <c r="Q52" i="30" s="1"/>
  <c r="Q53" i="30" s="1"/>
  <c r="AR27" i="30"/>
  <c r="AR26" i="30"/>
  <c r="AR25" i="30"/>
  <c r="AR24" i="30"/>
  <c r="X24" i="30"/>
  <c r="X25" i="30" s="1"/>
  <c r="AR23" i="30"/>
  <c r="AH23" i="30"/>
  <c r="X23" i="30"/>
  <c r="AR22" i="30"/>
  <c r="AH22" i="30"/>
  <c r="Z22" i="30"/>
  <c r="Z23" i="30" s="1"/>
  <c r="Z24" i="30" s="1"/>
  <c r="Z25" i="30" s="1"/>
  <c r="Z26" i="30" s="1"/>
  <c r="X22" i="30"/>
  <c r="AR21" i="30"/>
  <c r="AH21" i="30"/>
  <c r="AR20" i="30"/>
  <c r="AH20" i="30"/>
  <c r="P20" i="30"/>
  <c r="P21" i="30" s="1"/>
  <c r="P22" i="30" s="1"/>
  <c r="P23" i="30" s="1"/>
  <c r="P24" i="30" s="1"/>
  <c r="P25" i="30" s="1"/>
  <c r="P26" i="30" s="1"/>
  <c r="P27" i="30" s="1"/>
  <c r="M20" i="30"/>
  <c r="M21" i="30" s="1"/>
  <c r="M22" i="30" s="1"/>
  <c r="M23" i="30" s="1"/>
  <c r="M24" i="30" s="1"/>
  <c r="M25" i="30" s="1"/>
  <c r="M26" i="30" s="1"/>
  <c r="M27" i="30" s="1"/>
  <c r="AR19" i="30"/>
  <c r="AH19" i="30"/>
  <c r="P19" i="30"/>
  <c r="M19" i="30"/>
  <c r="AR18" i="30"/>
  <c r="AH18" i="30"/>
  <c r="P18" i="30"/>
  <c r="AR17" i="30"/>
  <c r="AH17" i="30"/>
  <c r="X17" i="30"/>
  <c r="AR16" i="30"/>
  <c r="AH16" i="30"/>
  <c r="Z16" i="30"/>
  <c r="Z17" i="30" s="1"/>
  <c r="Z18" i="30" s="1"/>
  <c r="Z19" i="30" s="1"/>
  <c r="Z20" i="30" s="1"/>
  <c r="X16" i="30"/>
  <c r="AR15" i="30"/>
  <c r="AH15" i="30"/>
  <c r="AR14" i="30"/>
  <c r="AH14" i="30"/>
  <c r="AR13" i="30"/>
  <c r="AH13" i="30"/>
  <c r="AR12" i="30"/>
  <c r="AR11" i="30"/>
  <c r="Z11" i="30"/>
  <c r="Z12" i="30" s="1"/>
  <c r="Z13" i="30" s="1"/>
  <c r="Z14" i="30" s="1"/>
  <c r="AR10" i="30"/>
  <c r="Z10" i="30"/>
  <c r="X10" i="30"/>
  <c r="X11" i="30" s="1"/>
  <c r="AR9" i="30"/>
  <c r="AR8" i="30"/>
  <c r="AR7" i="30"/>
  <c r="Z7" i="30"/>
  <c r="Z8" i="30" s="1"/>
  <c r="AR6" i="30"/>
  <c r="AA6" i="30"/>
  <c r="AA7" i="30" s="1"/>
  <c r="AA8" i="30" s="1"/>
  <c r="AA9" i="30" s="1"/>
  <c r="Z6" i="30"/>
  <c r="O6" i="30"/>
  <c r="O7" i="30" s="1"/>
  <c r="O8" i="30" s="1"/>
  <c r="O9" i="30" s="1"/>
  <c r="O10" i="30" s="1"/>
  <c r="O11" i="30" s="1"/>
  <c r="O12" i="30" s="1"/>
  <c r="O13" i="30" s="1"/>
  <c r="O14" i="30" s="1"/>
  <c r="O15" i="30" s="1"/>
  <c r="O16" i="30" s="1"/>
  <c r="O17" i="30" s="1"/>
  <c r="O18" i="30" s="1"/>
  <c r="O19" i="30" s="1"/>
  <c r="O20" i="30" s="1"/>
  <c r="O21" i="30" s="1"/>
  <c r="O22" i="30" s="1"/>
  <c r="O23" i="30" s="1"/>
  <c r="O24" i="30" s="1"/>
  <c r="O25" i="30" s="1"/>
  <c r="O26" i="30" s="1"/>
  <c r="O27" i="30" s="1"/>
  <c r="O28" i="30" s="1"/>
  <c r="O29" i="30" s="1"/>
  <c r="O30" i="30" s="1"/>
  <c r="O31" i="30" s="1"/>
  <c r="O32" i="30" s="1"/>
  <c r="O33" i="30" s="1"/>
  <c r="O34" i="30" s="1"/>
  <c r="O35" i="30" s="1"/>
  <c r="O36" i="30" s="1"/>
  <c r="O37" i="30" s="1"/>
  <c r="O38" i="30" s="1"/>
  <c r="O39" i="30" s="1"/>
  <c r="O40" i="30" s="1"/>
  <c r="O41" i="30" s="1"/>
  <c r="O42" i="30" s="1"/>
  <c r="O43" i="30" s="1"/>
  <c r="O44" i="30" s="1"/>
  <c r="O45" i="30" s="1"/>
  <c r="O46" i="30" s="1"/>
  <c r="O47" i="30" s="1"/>
  <c r="O48" i="30" s="1"/>
  <c r="O49" i="30" s="1"/>
  <c r="O50" i="30" s="1"/>
  <c r="O51" i="30" s="1"/>
  <c r="O52" i="30" s="1"/>
  <c r="O53" i="30" s="1"/>
  <c r="AU5" i="30"/>
  <c r="AU6" i="30" s="1"/>
  <c r="AU7" i="30" s="1"/>
  <c r="AU8" i="30" s="1"/>
  <c r="AU9" i="30" s="1"/>
  <c r="AU10" i="30" s="1"/>
  <c r="AU11" i="30" s="1"/>
  <c r="AU12" i="30" s="1"/>
  <c r="AU13" i="30" s="1"/>
  <c r="AU14" i="30" s="1"/>
  <c r="AU15" i="30" s="1"/>
  <c r="AU16" i="30" s="1"/>
  <c r="AU17" i="30" s="1"/>
  <c r="AU18" i="30" s="1"/>
  <c r="AU19" i="30" s="1"/>
  <c r="AU20" i="30" s="1"/>
  <c r="AU21" i="30" s="1"/>
  <c r="AU22" i="30" s="1"/>
  <c r="AU23" i="30" s="1"/>
  <c r="AU24" i="30" s="1"/>
  <c r="AU25" i="30" s="1"/>
  <c r="AU26" i="30" s="1"/>
  <c r="AU27" i="30" s="1"/>
  <c r="U28" i="30" s="1"/>
  <c r="AR5" i="30"/>
  <c r="AE5" i="30"/>
  <c r="AE6" i="30" s="1"/>
  <c r="AE7" i="30" s="1"/>
  <c r="AE8" i="30" s="1"/>
  <c r="AE9" i="30" s="1"/>
  <c r="AE10" i="30" s="1"/>
  <c r="AE11" i="30" s="1"/>
  <c r="AE12" i="30" s="1"/>
  <c r="AE13" i="30" s="1"/>
  <c r="AE14" i="30" s="1"/>
  <c r="AE15" i="30" s="1"/>
  <c r="AE16" i="30" s="1"/>
  <c r="AE17" i="30" s="1"/>
  <c r="AE18" i="30" s="1"/>
  <c r="AE19" i="30" s="1"/>
  <c r="AE20" i="30" s="1"/>
  <c r="AE21" i="30" s="1"/>
  <c r="AE22" i="30" s="1"/>
  <c r="AE23" i="30" s="1"/>
  <c r="AE24" i="30" s="1"/>
  <c r="AE25" i="30" s="1"/>
  <c r="AE26" i="30" s="1"/>
  <c r="AE27" i="30" s="1"/>
  <c r="AA5" i="30"/>
  <c r="Z5" i="30"/>
  <c r="O5" i="30"/>
  <c r="L5" i="30"/>
  <c r="L6" i="30" s="1"/>
  <c r="AU4" i="30"/>
  <c r="AR4" i="30"/>
  <c r="AT4" i="30" s="1"/>
  <c r="AT5" i="30" s="1"/>
  <c r="AT6" i="30" s="1"/>
  <c r="AT7" i="30" s="1"/>
  <c r="AT8" i="30" s="1"/>
  <c r="AT9" i="30" s="1"/>
  <c r="AT10" i="30" s="1"/>
  <c r="AT11" i="30" s="1"/>
  <c r="AT12" i="30" s="1"/>
  <c r="AT13" i="30" s="1"/>
  <c r="AT14" i="30" s="1"/>
  <c r="AT15" i="30" s="1"/>
  <c r="AT16" i="30" s="1"/>
  <c r="AT17" i="30" s="1"/>
  <c r="AT18" i="30" s="1"/>
  <c r="AT19" i="30" s="1"/>
  <c r="AT20" i="30" s="1"/>
  <c r="AT21" i="30" s="1"/>
  <c r="AT22" i="30" s="1"/>
  <c r="AT23" i="30" s="1"/>
  <c r="AT24" i="30" s="1"/>
  <c r="AT25" i="30" s="1"/>
  <c r="AT26" i="30" s="1"/>
  <c r="AT27" i="30" s="1"/>
  <c r="T28" i="30" s="1"/>
  <c r="T29" i="30" s="1"/>
  <c r="T30" i="30" s="1"/>
  <c r="T31" i="30" s="1"/>
  <c r="T32" i="30" s="1"/>
  <c r="T33" i="30" s="1"/>
  <c r="T34" i="30" s="1"/>
  <c r="T35" i="30" s="1"/>
  <c r="T36" i="30" s="1"/>
  <c r="T37" i="30" s="1"/>
  <c r="T38" i="30" s="1"/>
  <c r="T39" i="30" s="1"/>
  <c r="T40" i="30" s="1"/>
  <c r="T41" i="30" s="1"/>
  <c r="T42" i="30" s="1"/>
  <c r="T43" i="30" s="1"/>
  <c r="T44" i="30" s="1"/>
  <c r="T45" i="30" s="1"/>
  <c r="T46" i="30" s="1"/>
  <c r="T47" i="30" s="1"/>
  <c r="AI4" i="30"/>
  <c r="AI5" i="30" s="1"/>
  <c r="AI6" i="30" s="1"/>
  <c r="AI7" i="30" s="1"/>
  <c r="AI8" i="30" s="1"/>
  <c r="AI9" i="30" s="1"/>
  <c r="AI10" i="30" s="1"/>
  <c r="AI11" i="30" s="1"/>
  <c r="AI12" i="30" s="1"/>
  <c r="AI13" i="30" s="1"/>
  <c r="AI14" i="30" s="1"/>
  <c r="AI15" i="30" s="1"/>
  <c r="AI16" i="30" s="1"/>
  <c r="AI17" i="30" s="1"/>
  <c r="AI18" i="30" s="1"/>
  <c r="AI19" i="30" s="1"/>
  <c r="AI20" i="30" s="1"/>
  <c r="AI21" i="30" s="1"/>
  <c r="AI22" i="30" s="1"/>
  <c r="AI23" i="30" s="1"/>
  <c r="AG4" i="30"/>
  <c r="AG5" i="30" s="1"/>
  <c r="AG6" i="30" s="1"/>
  <c r="AG7" i="30" s="1"/>
  <c r="AG8" i="30" s="1"/>
  <c r="AG9" i="30" s="1"/>
  <c r="AF4" i="30"/>
  <c r="AF5" i="30" s="1"/>
  <c r="AF6" i="30" s="1"/>
  <c r="AF7" i="30" s="1"/>
  <c r="AF8" i="30" s="1"/>
  <c r="AF9" i="30" s="1"/>
  <c r="AF10" i="30" s="1"/>
  <c r="AF11" i="30" s="1"/>
  <c r="AF12" i="30" s="1"/>
  <c r="AF13" i="30" s="1"/>
  <c r="AF14" i="30" s="1"/>
  <c r="AF15" i="30" s="1"/>
  <c r="AF16" i="30" s="1"/>
  <c r="AF17" i="30" s="1"/>
  <c r="AF18" i="30" s="1"/>
  <c r="AF19" i="30" s="1"/>
  <c r="AF20" i="30" s="1"/>
  <c r="AF21" i="30" s="1"/>
  <c r="AF22" i="30" s="1"/>
  <c r="AF23" i="30" s="1"/>
  <c r="AF24" i="30" s="1"/>
  <c r="AF25" i="30" s="1"/>
  <c r="AF26" i="30" s="1"/>
  <c r="AF27" i="30" s="1"/>
  <c r="AE4" i="30"/>
  <c r="AA4" i="30"/>
  <c r="Z4" i="30"/>
  <c r="X4" i="30"/>
  <c r="X5" i="30" s="1"/>
  <c r="O4" i="30"/>
  <c r="M4" i="30"/>
  <c r="M5" i="30" s="1"/>
  <c r="L4" i="30"/>
  <c r="J4" i="30"/>
  <c r="AM3" i="30"/>
  <c r="AN3" i="30" s="1"/>
  <c r="V3" i="30"/>
  <c r="AJ29" i="29"/>
  <c r="AJ30" i="29" s="1"/>
  <c r="AJ31" i="29" s="1"/>
  <c r="AJ32" i="29" s="1"/>
  <c r="AJ33" i="29" s="1"/>
  <c r="AJ34" i="29" s="1"/>
  <c r="AJ35" i="29" s="1"/>
  <c r="AJ36" i="29" s="1"/>
  <c r="AJ37" i="29" s="1"/>
  <c r="AJ38" i="29" s="1"/>
  <c r="AJ39" i="29" s="1"/>
  <c r="AJ40" i="29" s="1"/>
  <c r="AJ41" i="29" s="1"/>
  <c r="AJ42" i="29" s="1"/>
  <c r="AJ43" i="29" s="1"/>
  <c r="AJ44" i="29" s="1"/>
  <c r="AJ45" i="29" s="1"/>
  <c r="AJ46" i="29" s="1"/>
  <c r="AJ47" i="29" s="1"/>
  <c r="AJ48" i="29" s="1"/>
  <c r="AJ49" i="29" s="1"/>
  <c r="AJ50" i="29" s="1"/>
  <c r="AJ51" i="29" s="1"/>
  <c r="AJ52" i="29" s="1"/>
  <c r="AJ53" i="29" s="1"/>
  <c r="Q29" i="29"/>
  <c r="Q30" i="29" s="1"/>
  <c r="Q31" i="29" s="1"/>
  <c r="Q32" i="29" s="1"/>
  <c r="Q33" i="29" s="1"/>
  <c r="Q34" i="29" s="1"/>
  <c r="Q35" i="29" s="1"/>
  <c r="Q36" i="29" s="1"/>
  <c r="Q37" i="29" s="1"/>
  <c r="Q38" i="29" s="1"/>
  <c r="Q39" i="29" s="1"/>
  <c r="Q40" i="29" s="1"/>
  <c r="Q41" i="29" s="1"/>
  <c r="Q42" i="29" s="1"/>
  <c r="Q43" i="29" s="1"/>
  <c r="Q44" i="29" s="1"/>
  <c r="Q45" i="29" s="1"/>
  <c r="Q46" i="29" s="1"/>
  <c r="Q47" i="29" s="1"/>
  <c r="Q48" i="29" s="1"/>
  <c r="Q49" i="29" s="1"/>
  <c r="Q50" i="29" s="1"/>
  <c r="Q51" i="29" s="1"/>
  <c r="Q52" i="29" s="1"/>
  <c r="Q53" i="29" s="1"/>
  <c r="P29" i="29"/>
  <c r="P30" i="29" s="1"/>
  <c r="P31" i="29" s="1"/>
  <c r="P32" i="29" s="1"/>
  <c r="P33" i="29" s="1"/>
  <c r="P34" i="29" s="1"/>
  <c r="P35" i="29" s="1"/>
  <c r="P36" i="29" s="1"/>
  <c r="P37" i="29" s="1"/>
  <c r="P38" i="29" s="1"/>
  <c r="P39" i="29" s="1"/>
  <c r="P40" i="29" s="1"/>
  <c r="P41" i="29" s="1"/>
  <c r="P42" i="29" s="1"/>
  <c r="P43" i="29" s="1"/>
  <c r="P44" i="29" s="1"/>
  <c r="P45" i="29" s="1"/>
  <c r="P46" i="29" s="1"/>
  <c r="P47" i="29" s="1"/>
  <c r="P48" i="29" s="1"/>
  <c r="P49" i="29" s="1"/>
  <c r="P50" i="29" s="1"/>
  <c r="P51" i="29" s="1"/>
  <c r="P52" i="29" s="1"/>
  <c r="P53" i="29" s="1"/>
  <c r="AR27" i="29"/>
  <c r="AR26" i="29"/>
  <c r="AR25" i="29"/>
  <c r="AR24" i="29"/>
  <c r="AR23" i="29"/>
  <c r="AG23" i="29"/>
  <c r="AR22" i="29"/>
  <c r="AG22" i="29"/>
  <c r="Y22" i="29"/>
  <c r="Y23" i="29" s="1"/>
  <c r="Y24" i="29" s="1"/>
  <c r="Y25" i="29" s="1"/>
  <c r="Y26" i="29" s="1"/>
  <c r="W22" i="29"/>
  <c r="W23" i="29" s="1"/>
  <c r="AR21" i="29"/>
  <c r="AG21" i="29"/>
  <c r="AR20" i="29"/>
  <c r="AG20" i="29"/>
  <c r="AR19" i="29"/>
  <c r="AG19" i="29"/>
  <c r="AR18" i="29"/>
  <c r="AG18" i="29"/>
  <c r="AR17" i="29"/>
  <c r="AG17" i="29"/>
  <c r="Y17" i="29"/>
  <c r="Y18" i="29" s="1"/>
  <c r="Y19" i="29" s="1"/>
  <c r="Y20" i="29" s="1"/>
  <c r="W17" i="29"/>
  <c r="W18" i="29" s="1"/>
  <c r="AR16" i="29"/>
  <c r="AG16" i="29"/>
  <c r="Y16" i="29"/>
  <c r="W16" i="29"/>
  <c r="AR15" i="29"/>
  <c r="AI15" i="29"/>
  <c r="AI16" i="29" s="1"/>
  <c r="AI17" i="29" s="1"/>
  <c r="AI18" i="29" s="1"/>
  <c r="AI19" i="29" s="1"/>
  <c r="AI20" i="29" s="1"/>
  <c r="AI21" i="29" s="1"/>
  <c r="AI22" i="29" s="1"/>
  <c r="AI23" i="29" s="1"/>
  <c r="AI24" i="29" s="1"/>
  <c r="AI25" i="29" s="1"/>
  <c r="AI26" i="29" s="1"/>
  <c r="AI27" i="29" s="1"/>
  <c r="AI28" i="29" s="1"/>
  <c r="AG15" i="29"/>
  <c r="AR14" i="29"/>
  <c r="AG14" i="29"/>
  <c r="AR13" i="29"/>
  <c r="AG13" i="29"/>
  <c r="Y13" i="29"/>
  <c r="Y14" i="29" s="1"/>
  <c r="AR12" i="29"/>
  <c r="Y12" i="29"/>
  <c r="AR11" i="29"/>
  <c r="Y11" i="29"/>
  <c r="AR10" i="29"/>
  <c r="Y10" i="29"/>
  <c r="W10" i="29"/>
  <c r="W11" i="29" s="1"/>
  <c r="AR9" i="29"/>
  <c r="AR8" i="29"/>
  <c r="AR7" i="29"/>
  <c r="M7" i="29"/>
  <c r="M8" i="29" s="1"/>
  <c r="M9" i="29" s="1"/>
  <c r="M10" i="29" s="1"/>
  <c r="M11" i="29" s="1"/>
  <c r="M12" i="29" s="1"/>
  <c r="M13" i="29" s="1"/>
  <c r="M14" i="29" s="1"/>
  <c r="M15" i="29" s="1"/>
  <c r="M16" i="29" s="1"/>
  <c r="M17" i="29" s="1"/>
  <c r="M18" i="29" s="1"/>
  <c r="M19" i="29" s="1"/>
  <c r="M20" i="29" s="1"/>
  <c r="M21" i="29" s="1"/>
  <c r="M22" i="29" s="1"/>
  <c r="M23" i="29" s="1"/>
  <c r="M24" i="29" s="1"/>
  <c r="M25" i="29" s="1"/>
  <c r="M26" i="29" s="1"/>
  <c r="M27" i="29" s="1"/>
  <c r="L7" i="29"/>
  <c r="L8" i="29" s="1"/>
  <c r="AR6" i="29"/>
  <c r="AF6" i="29"/>
  <c r="AF7" i="29" s="1"/>
  <c r="AF8" i="29" s="1"/>
  <c r="AF9" i="29" s="1"/>
  <c r="AE6" i="29"/>
  <c r="AE7" i="29" s="1"/>
  <c r="AE8" i="29" s="1"/>
  <c r="AE9" i="29" s="1"/>
  <c r="AE10" i="29" s="1"/>
  <c r="AE11" i="29" s="1"/>
  <c r="AE12" i="29" s="1"/>
  <c r="AE13" i="29" s="1"/>
  <c r="AE14" i="29" s="1"/>
  <c r="AE15" i="29" s="1"/>
  <c r="AE16" i="29" s="1"/>
  <c r="AE17" i="29" s="1"/>
  <c r="AE18" i="29" s="1"/>
  <c r="AE19" i="29" s="1"/>
  <c r="AE20" i="29" s="1"/>
  <c r="AE21" i="29" s="1"/>
  <c r="AE22" i="29" s="1"/>
  <c r="AE23" i="29" s="1"/>
  <c r="AE24" i="29" s="1"/>
  <c r="AE25" i="29" s="1"/>
  <c r="AE26" i="29" s="1"/>
  <c r="AE27" i="29" s="1"/>
  <c r="M6" i="29"/>
  <c r="L6" i="29"/>
  <c r="AR5" i="29"/>
  <c r="AF5" i="29"/>
  <c r="AE5" i="29"/>
  <c r="AD5" i="29"/>
  <c r="AD6" i="29" s="1"/>
  <c r="AD7" i="29" s="1"/>
  <c r="AD8" i="29" s="1"/>
  <c r="AD9" i="29" s="1"/>
  <c r="AD10" i="29" s="1"/>
  <c r="AD11" i="29" s="1"/>
  <c r="AD12" i="29" s="1"/>
  <c r="AD13" i="29" s="1"/>
  <c r="AD14" i="29" s="1"/>
  <c r="AD15" i="29" s="1"/>
  <c r="AD16" i="29" s="1"/>
  <c r="AD17" i="29" s="1"/>
  <c r="AD18" i="29" s="1"/>
  <c r="AD19" i="29" s="1"/>
  <c r="AD20" i="29" s="1"/>
  <c r="AD21" i="29" s="1"/>
  <c r="AD22" i="29" s="1"/>
  <c r="AD23" i="29" s="1"/>
  <c r="AD24" i="29" s="1"/>
  <c r="AD25" i="29" s="1"/>
  <c r="AD26" i="29" s="1"/>
  <c r="AD27" i="29" s="1"/>
  <c r="Z5" i="29"/>
  <c r="Z6" i="29" s="1"/>
  <c r="Z7" i="29" s="1"/>
  <c r="Z8" i="29" s="1"/>
  <c r="Z9" i="29" s="1"/>
  <c r="Y5" i="29"/>
  <c r="Y6" i="29" s="1"/>
  <c r="Y7" i="29" s="1"/>
  <c r="Y8" i="29" s="1"/>
  <c r="M5" i="29"/>
  <c r="L5" i="29"/>
  <c r="AU4" i="29"/>
  <c r="AU5" i="29" s="1"/>
  <c r="AU6" i="29" s="1"/>
  <c r="AU7" i="29" s="1"/>
  <c r="AU8" i="29" s="1"/>
  <c r="AU9" i="29" s="1"/>
  <c r="AU10" i="29" s="1"/>
  <c r="AU11" i="29" s="1"/>
  <c r="AU12" i="29" s="1"/>
  <c r="AU13" i="29" s="1"/>
  <c r="AU14" i="29" s="1"/>
  <c r="AU15" i="29" s="1"/>
  <c r="AU16" i="29" s="1"/>
  <c r="AU17" i="29" s="1"/>
  <c r="AU18" i="29" s="1"/>
  <c r="AU19" i="29" s="1"/>
  <c r="AU20" i="29" s="1"/>
  <c r="AU21" i="29" s="1"/>
  <c r="AU22" i="29" s="1"/>
  <c r="AU23" i="29" s="1"/>
  <c r="AU24" i="29" s="1"/>
  <c r="AU25" i="29" s="1"/>
  <c r="AU26" i="29" s="1"/>
  <c r="AU27" i="29" s="1"/>
  <c r="T28" i="29" s="1"/>
  <c r="AR4" i="29"/>
  <c r="AT4" i="29" s="1"/>
  <c r="AT5" i="29" s="1"/>
  <c r="AT6" i="29" s="1"/>
  <c r="AT7" i="29" s="1"/>
  <c r="AT8" i="29" s="1"/>
  <c r="AT9" i="29" s="1"/>
  <c r="AT10" i="29" s="1"/>
  <c r="AT11" i="29" s="1"/>
  <c r="AT12" i="29" s="1"/>
  <c r="AT13" i="29" s="1"/>
  <c r="AT14" i="29" s="1"/>
  <c r="AT15" i="29" s="1"/>
  <c r="AT16" i="29" s="1"/>
  <c r="AT17" i="29" s="1"/>
  <c r="AT18" i="29" s="1"/>
  <c r="AT19" i="29" s="1"/>
  <c r="AT20" i="29" s="1"/>
  <c r="AT21" i="29" s="1"/>
  <c r="AT22" i="29" s="1"/>
  <c r="AT23" i="29" s="1"/>
  <c r="AT24" i="29" s="1"/>
  <c r="AT25" i="29" s="1"/>
  <c r="AT26" i="29" s="1"/>
  <c r="AT27" i="29" s="1"/>
  <c r="S28" i="29" s="1"/>
  <c r="S29" i="29" s="1"/>
  <c r="S30" i="29" s="1"/>
  <c r="S31" i="29" s="1"/>
  <c r="S32" i="29" s="1"/>
  <c r="S33" i="29" s="1"/>
  <c r="S34" i="29" s="1"/>
  <c r="S35" i="29" s="1"/>
  <c r="S36" i="29" s="1"/>
  <c r="S37" i="29" s="1"/>
  <c r="S38" i="29" s="1"/>
  <c r="S39" i="29" s="1"/>
  <c r="S40" i="29" s="1"/>
  <c r="S41" i="29" s="1"/>
  <c r="S42" i="29" s="1"/>
  <c r="S43" i="29" s="1"/>
  <c r="S44" i="29" s="1"/>
  <c r="S45" i="29" s="1"/>
  <c r="S46" i="29" s="1"/>
  <c r="S47" i="29" s="1"/>
  <c r="AQ4" i="29"/>
  <c r="AS4" i="29" s="1"/>
  <c r="AH4" i="29"/>
  <c r="AH5" i="29" s="1"/>
  <c r="AH6" i="29" s="1"/>
  <c r="AH7" i="29" s="1"/>
  <c r="AH8" i="29" s="1"/>
  <c r="AH9" i="29" s="1"/>
  <c r="AH10" i="29" s="1"/>
  <c r="AH11" i="29" s="1"/>
  <c r="AH12" i="29" s="1"/>
  <c r="AH13" i="29" s="1"/>
  <c r="AH14" i="29" s="1"/>
  <c r="AH15" i="29" s="1"/>
  <c r="AH16" i="29" s="1"/>
  <c r="AH17" i="29" s="1"/>
  <c r="AH18" i="29" s="1"/>
  <c r="AH19" i="29" s="1"/>
  <c r="AH20" i="29" s="1"/>
  <c r="AH21" i="29" s="1"/>
  <c r="AH22" i="29" s="1"/>
  <c r="AH23" i="29" s="1"/>
  <c r="AF4" i="29"/>
  <c r="AE4" i="29"/>
  <c r="AD4" i="29"/>
  <c r="Z4" i="29"/>
  <c r="Y4" i="29"/>
  <c r="W4" i="29"/>
  <c r="W5" i="29" s="1"/>
  <c r="O4" i="29"/>
  <c r="O5" i="29" s="1"/>
  <c r="O6" i="29" s="1"/>
  <c r="O7" i="29" s="1"/>
  <c r="O8" i="29" s="1"/>
  <c r="O9" i="29" s="1"/>
  <c r="O10" i="29" s="1"/>
  <c r="O11" i="29" s="1"/>
  <c r="O12" i="29" s="1"/>
  <c r="O13" i="29" s="1"/>
  <c r="O14" i="29" s="1"/>
  <c r="O15" i="29" s="1"/>
  <c r="O16" i="29" s="1"/>
  <c r="O17" i="29" s="1"/>
  <c r="O18" i="29" s="1"/>
  <c r="O19" i="29" s="1"/>
  <c r="O20" i="29" s="1"/>
  <c r="O21" i="29" s="1"/>
  <c r="O22" i="29" s="1"/>
  <c r="O23" i="29" s="1"/>
  <c r="O24" i="29" s="1"/>
  <c r="O25" i="29" s="1"/>
  <c r="O26" i="29" s="1"/>
  <c r="O27" i="29" s="1"/>
  <c r="O28" i="29" s="1"/>
  <c r="O29" i="29" s="1"/>
  <c r="O30" i="29" s="1"/>
  <c r="O31" i="29" s="1"/>
  <c r="O32" i="29" s="1"/>
  <c r="O33" i="29" s="1"/>
  <c r="O34" i="29" s="1"/>
  <c r="O35" i="29" s="1"/>
  <c r="O36" i="29" s="1"/>
  <c r="O37" i="29" s="1"/>
  <c r="O38" i="29" s="1"/>
  <c r="O39" i="29" s="1"/>
  <c r="O40" i="29" s="1"/>
  <c r="O41" i="29" s="1"/>
  <c r="O42" i="29" s="1"/>
  <c r="O43" i="29" s="1"/>
  <c r="O44" i="29" s="1"/>
  <c r="O45" i="29" s="1"/>
  <c r="O46" i="29" s="1"/>
  <c r="O47" i="29" s="1"/>
  <c r="O48" i="29" s="1"/>
  <c r="O49" i="29" s="1"/>
  <c r="O50" i="29" s="1"/>
  <c r="O51" i="29" s="1"/>
  <c r="O52" i="29" s="1"/>
  <c r="O53" i="29" s="1"/>
  <c r="M4" i="29"/>
  <c r="L4" i="29"/>
  <c r="J4" i="29"/>
  <c r="AM3" i="29"/>
  <c r="AN3" i="29" s="1"/>
  <c r="U3" i="29"/>
  <c r="AL28" i="28"/>
  <c r="Q29" i="28"/>
  <c r="Q30" i="28" s="1"/>
  <c r="Q31" i="28" s="1"/>
  <c r="Q32" i="28" s="1"/>
  <c r="Q33" i="28" s="1"/>
  <c r="Q34" i="28" s="1"/>
  <c r="Q35" i="28" s="1"/>
  <c r="Q36" i="28" s="1"/>
  <c r="Q37" i="28" s="1"/>
  <c r="Q38" i="28" s="1"/>
  <c r="Q39" i="28" s="1"/>
  <c r="Q40" i="28" s="1"/>
  <c r="Q41" i="28" s="1"/>
  <c r="Q42" i="28" s="1"/>
  <c r="Q43" i="28" s="1"/>
  <c r="Q44" i="28" s="1"/>
  <c r="Q45" i="28" s="1"/>
  <c r="Q46" i="28" s="1"/>
  <c r="Q47" i="28" s="1"/>
  <c r="Q48" i="28" s="1"/>
  <c r="Q49" i="28" s="1"/>
  <c r="Q50" i="28" s="1"/>
  <c r="Q51" i="28" s="1"/>
  <c r="Q52" i="28" s="1"/>
  <c r="Q53" i="28" s="1"/>
  <c r="P29" i="28"/>
  <c r="P30" i="28" s="1"/>
  <c r="P31" i="28" s="1"/>
  <c r="P32" i="28" s="1"/>
  <c r="P33" i="28" s="1"/>
  <c r="P34" i="28" s="1"/>
  <c r="P35" i="28" s="1"/>
  <c r="P36" i="28" s="1"/>
  <c r="P37" i="28" s="1"/>
  <c r="P38" i="28" s="1"/>
  <c r="P39" i="28" s="1"/>
  <c r="P40" i="28" s="1"/>
  <c r="P41" i="28" s="1"/>
  <c r="P42" i="28" s="1"/>
  <c r="P43" i="28" s="1"/>
  <c r="P44" i="28" s="1"/>
  <c r="P45" i="28" s="1"/>
  <c r="P46" i="28" s="1"/>
  <c r="P47" i="28" s="1"/>
  <c r="P48" i="28" s="1"/>
  <c r="P49" i="28" s="1"/>
  <c r="P50" i="28" s="1"/>
  <c r="P51" i="28" s="1"/>
  <c r="P52" i="28" s="1"/>
  <c r="P53" i="28" s="1"/>
  <c r="AQ27" i="28"/>
  <c r="AQ26" i="28"/>
  <c r="AQ25" i="28"/>
  <c r="AQ24" i="28"/>
  <c r="W24" i="28"/>
  <c r="W25" i="28" s="1"/>
  <c r="AQ23" i="28"/>
  <c r="AG23" i="28"/>
  <c r="Y23" i="28"/>
  <c r="Y24" i="28" s="1"/>
  <c r="Y25" i="28" s="1"/>
  <c r="Y26" i="28" s="1"/>
  <c r="W23" i="28"/>
  <c r="AQ22" i="28"/>
  <c r="AG22" i="28"/>
  <c r="Y22" i="28"/>
  <c r="W22" i="28"/>
  <c r="AQ21" i="28"/>
  <c r="AG21" i="28"/>
  <c r="AQ20" i="28"/>
  <c r="AG20" i="28"/>
  <c r="AQ19" i="28"/>
  <c r="AG19" i="28"/>
  <c r="AQ18" i="28"/>
  <c r="AG18" i="28"/>
  <c r="Y18" i="28"/>
  <c r="Y19" i="28" s="1"/>
  <c r="Y20" i="28" s="1"/>
  <c r="AQ17" i="28"/>
  <c r="AG17" i="28"/>
  <c r="Y17" i="28"/>
  <c r="W17" i="28"/>
  <c r="W18" i="28" s="1"/>
  <c r="AQ16" i="28"/>
  <c r="AG16" i="28"/>
  <c r="Y16" i="28"/>
  <c r="W16" i="28"/>
  <c r="AQ15" i="28"/>
  <c r="AG15" i="28"/>
  <c r="AQ14" i="28"/>
  <c r="AG14" i="28"/>
  <c r="AQ13" i="28"/>
  <c r="AG13" i="28"/>
  <c r="AQ12" i="28"/>
  <c r="AQ11" i="28"/>
  <c r="AQ10" i="28"/>
  <c r="Y10" i="28"/>
  <c r="Y11" i="28" s="1"/>
  <c r="Y12" i="28" s="1"/>
  <c r="Y13" i="28" s="1"/>
  <c r="Y14" i="28" s="1"/>
  <c r="W10" i="28"/>
  <c r="W11" i="28" s="1"/>
  <c r="AQ9" i="28"/>
  <c r="AQ8" i="28"/>
  <c r="AQ7" i="28"/>
  <c r="AE7" i="28"/>
  <c r="AE8" i="28" s="1"/>
  <c r="AE9" i="28" s="1"/>
  <c r="AE10" i="28" s="1"/>
  <c r="AE11" i="28" s="1"/>
  <c r="AE12" i="28" s="1"/>
  <c r="AE13" i="28" s="1"/>
  <c r="AE14" i="28" s="1"/>
  <c r="AE15" i="28" s="1"/>
  <c r="AE16" i="28" s="1"/>
  <c r="AE17" i="28" s="1"/>
  <c r="AE18" i="28" s="1"/>
  <c r="AE19" i="28" s="1"/>
  <c r="AE20" i="28" s="1"/>
  <c r="AE21" i="28" s="1"/>
  <c r="AE22" i="28" s="1"/>
  <c r="AE23" i="28" s="1"/>
  <c r="AE24" i="28" s="1"/>
  <c r="AE25" i="28" s="1"/>
  <c r="AE26" i="28" s="1"/>
  <c r="AE27" i="28" s="1"/>
  <c r="AD7" i="28"/>
  <c r="AD8" i="28" s="1"/>
  <c r="AD9" i="28" s="1"/>
  <c r="AD10" i="28" s="1"/>
  <c r="AD11" i="28" s="1"/>
  <c r="AD12" i="28" s="1"/>
  <c r="AD13" i="28" s="1"/>
  <c r="AD14" i="28" s="1"/>
  <c r="AD15" i="28" s="1"/>
  <c r="AD16" i="28" s="1"/>
  <c r="AD17" i="28" s="1"/>
  <c r="AD18" i="28" s="1"/>
  <c r="AD19" i="28" s="1"/>
  <c r="AD20" i="28" s="1"/>
  <c r="AD21" i="28" s="1"/>
  <c r="AD22" i="28" s="1"/>
  <c r="AD23" i="28" s="1"/>
  <c r="AD24" i="28" s="1"/>
  <c r="AD25" i="28" s="1"/>
  <c r="AD26" i="28" s="1"/>
  <c r="AD27" i="28" s="1"/>
  <c r="AQ6" i="28"/>
  <c r="AE6" i="28"/>
  <c r="AD6" i="28"/>
  <c r="Y6" i="28"/>
  <c r="Y7" i="28" s="1"/>
  <c r="Y8" i="28" s="1"/>
  <c r="W6" i="28"/>
  <c r="W7" i="28" s="1"/>
  <c r="AQ5" i="28"/>
  <c r="AF5" i="28"/>
  <c r="AF6" i="28" s="1"/>
  <c r="AF7" i="28" s="1"/>
  <c r="AF8" i="28" s="1"/>
  <c r="AF9" i="28" s="1"/>
  <c r="AE5" i="28"/>
  <c r="AD5" i="28"/>
  <c r="Y5" i="28"/>
  <c r="W5" i="28"/>
  <c r="AL5" i="28" s="1"/>
  <c r="O5" i="28"/>
  <c r="O6" i="28" s="1"/>
  <c r="O7" i="28" s="1"/>
  <c r="O8" i="28" s="1"/>
  <c r="O9" i="28" s="1"/>
  <c r="O10" i="28" s="1"/>
  <c r="O11" i="28" s="1"/>
  <c r="O12" i="28" s="1"/>
  <c r="O13" i="28" s="1"/>
  <c r="O14" i="28" s="1"/>
  <c r="O15" i="28" s="1"/>
  <c r="O16" i="28" s="1"/>
  <c r="O17" i="28" s="1"/>
  <c r="O18" i="28" s="1"/>
  <c r="O19" i="28" s="1"/>
  <c r="O20" i="28" s="1"/>
  <c r="O21" i="28" s="1"/>
  <c r="O22" i="28" s="1"/>
  <c r="O23" i="28" s="1"/>
  <c r="O24" i="28" s="1"/>
  <c r="O25" i="28" s="1"/>
  <c r="O26" i="28" s="1"/>
  <c r="O27" i="28" s="1"/>
  <c r="O28" i="28" s="1"/>
  <c r="O29" i="28" s="1"/>
  <c r="O30" i="28" s="1"/>
  <c r="O31" i="28" s="1"/>
  <c r="O32" i="28" s="1"/>
  <c r="O33" i="28" s="1"/>
  <c r="O34" i="28" s="1"/>
  <c r="O35" i="28" s="1"/>
  <c r="O36" i="28" s="1"/>
  <c r="O37" i="28" s="1"/>
  <c r="O38" i="28" s="1"/>
  <c r="O39" i="28" s="1"/>
  <c r="O40" i="28" s="1"/>
  <c r="O41" i="28" s="1"/>
  <c r="O42" i="28" s="1"/>
  <c r="O43" i="28" s="1"/>
  <c r="O44" i="28" s="1"/>
  <c r="O45" i="28" s="1"/>
  <c r="O46" i="28" s="1"/>
  <c r="O47" i="28" s="1"/>
  <c r="O48" i="28" s="1"/>
  <c r="O49" i="28" s="1"/>
  <c r="O50" i="28" s="1"/>
  <c r="O51" i="28" s="1"/>
  <c r="O52" i="28" s="1"/>
  <c r="O53" i="28" s="1"/>
  <c r="AT4" i="28"/>
  <c r="AT5" i="28" s="1"/>
  <c r="AT6" i="28" s="1"/>
  <c r="AT7" i="28" s="1"/>
  <c r="AT8" i="28" s="1"/>
  <c r="AT9" i="28" s="1"/>
  <c r="AT10" i="28" s="1"/>
  <c r="AT11" i="28" s="1"/>
  <c r="AT12" i="28" s="1"/>
  <c r="AT13" i="28" s="1"/>
  <c r="AT14" i="28" s="1"/>
  <c r="AT15" i="28" s="1"/>
  <c r="AT16" i="28" s="1"/>
  <c r="AT17" i="28" s="1"/>
  <c r="AT18" i="28" s="1"/>
  <c r="AT19" i="28" s="1"/>
  <c r="AT20" i="28" s="1"/>
  <c r="AT21" i="28" s="1"/>
  <c r="AT22" i="28" s="1"/>
  <c r="AT23" i="28" s="1"/>
  <c r="AT24" i="28" s="1"/>
  <c r="AT25" i="28" s="1"/>
  <c r="AT26" i="28" s="1"/>
  <c r="AT27" i="28" s="1"/>
  <c r="AS4" i="28"/>
  <c r="AQ4" i="28"/>
  <c r="AH4" i="28"/>
  <c r="AH5" i="28" s="1"/>
  <c r="AH6" i="28" s="1"/>
  <c r="AH7" i="28" s="1"/>
  <c r="AH8" i="28" s="1"/>
  <c r="AH9" i="28" s="1"/>
  <c r="AH10" i="28" s="1"/>
  <c r="AH11" i="28" s="1"/>
  <c r="AH12" i="28" s="1"/>
  <c r="AH13" i="28" s="1"/>
  <c r="AH14" i="28" s="1"/>
  <c r="AH15" i="28" s="1"/>
  <c r="AH16" i="28" s="1"/>
  <c r="AH17" i="28" s="1"/>
  <c r="AH18" i="28" s="1"/>
  <c r="AH19" i="28" s="1"/>
  <c r="AH20" i="28" s="1"/>
  <c r="AH21" i="28" s="1"/>
  <c r="AH22" i="28" s="1"/>
  <c r="AH23" i="28" s="1"/>
  <c r="AF4" i="28"/>
  <c r="AE4" i="28"/>
  <c r="AD4" i="28"/>
  <c r="Z4" i="28"/>
  <c r="Z5" i="28" s="1"/>
  <c r="Z6" i="28" s="1"/>
  <c r="Z7" i="28" s="1"/>
  <c r="Z8" i="28" s="1"/>
  <c r="Z9" i="28" s="1"/>
  <c r="Y4" i="28"/>
  <c r="W4" i="28"/>
  <c r="O4" i="28"/>
  <c r="M4" i="28"/>
  <c r="M5" i="28" s="1"/>
  <c r="M6" i="28" s="1"/>
  <c r="M7" i="28" s="1"/>
  <c r="M8" i="28" s="1"/>
  <c r="M9" i="28" s="1"/>
  <c r="M10" i="28" s="1"/>
  <c r="M11" i="28" s="1"/>
  <c r="M12" i="28" s="1"/>
  <c r="M13" i="28" s="1"/>
  <c r="M14" i="28" s="1"/>
  <c r="M15" i="28" s="1"/>
  <c r="M16" i="28" s="1"/>
  <c r="M17" i="28" s="1"/>
  <c r="M18" i="28" s="1"/>
  <c r="M19" i="28" s="1"/>
  <c r="M20" i="28" s="1"/>
  <c r="M21" i="28" s="1"/>
  <c r="M22" i="28" s="1"/>
  <c r="M23" i="28" s="1"/>
  <c r="M24" i="28" s="1"/>
  <c r="M25" i="28" s="1"/>
  <c r="M26" i="28" s="1"/>
  <c r="M27" i="28" s="1"/>
  <c r="L4" i="28"/>
  <c r="L5" i="28" s="1"/>
  <c r="J4" i="28"/>
  <c r="N4" i="28" s="1"/>
  <c r="AL3" i="28"/>
  <c r="U3" i="28"/>
  <c r="AM3" i="28" s="1"/>
  <c r="AL28" i="27"/>
  <c r="Q29" i="27"/>
  <c r="Q30" i="27" s="1"/>
  <c r="Q31" i="27" s="1"/>
  <c r="Q32" i="27" s="1"/>
  <c r="Q33" i="27" s="1"/>
  <c r="Q34" i="27" s="1"/>
  <c r="Q35" i="27" s="1"/>
  <c r="Q36" i="27" s="1"/>
  <c r="Q37" i="27" s="1"/>
  <c r="Q38" i="27" s="1"/>
  <c r="Q39" i="27" s="1"/>
  <c r="Q40" i="27" s="1"/>
  <c r="Q41" i="27" s="1"/>
  <c r="Q42" i="27" s="1"/>
  <c r="Q43" i="27" s="1"/>
  <c r="Q44" i="27" s="1"/>
  <c r="Q45" i="27" s="1"/>
  <c r="Q46" i="27" s="1"/>
  <c r="Q47" i="27" s="1"/>
  <c r="Q48" i="27" s="1"/>
  <c r="Q49" i="27" s="1"/>
  <c r="Q50" i="27" s="1"/>
  <c r="Q51" i="27" s="1"/>
  <c r="Q52" i="27" s="1"/>
  <c r="Q53" i="27" s="1"/>
  <c r="P29" i="27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P41" i="27" s="1"/>
  <c r="P42" i="27" s="1"/>
  <c r="P43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AQ27" i="27"/>
  <c r="AQ26" i="27"/>
  <c r="AQ25" i="27"/>
  <c r="AQ24" i="27"/>
  <c r="AQ23" i="27"/>
  <c r="AG23" i="27"/>
  <c r="AQ22" i="27"/>
  <c r="AG22" i="27"/>
  <c r="Y22" i="27"/>
  <c r="Y23" i="27" s="1"/>
  <c r="Y24" i="27" s="1"/>
  <c r="Y25" i="27" s="1"/>
  <c r="Y26" i="27" s="1"/>
  <c r="W22" i="27"/>
  <c r="W23" i="27" s="1"/>
  <c r="AQ21" i="27"/>
  <c r="AG21" i="27"/>
  <c r="AQ20" i="27"/>
  <c r="AG20" i="27"/>
  <c r="AQ19" i="27"/>
  <c r="AG19" i="27"/>
  <c r="AQ18" i="27"/>
  <c r="AG18" i="27"/>
  <c r="AQ17" i="27"/>
  <c r="AG17" i="27"/>
  <c r="Y17" i="27"/>
  <c r="Y18" i="27" s="1"/>
  <c r="Y19" i="27" s="1"/>
  <c r="Y20" i="27" s="1"/>
  <c r="W17" i="27"/>
  <c r="W18" i="27" s="1"/>
  <c r="AQ16" i="27"/>
  <c r="AG16" i="27"/>
  <c r="Y16" i="27"/>
  <c r="W16" i="27"/>
  <c r="AQ15" i="27"/>
  <c r="AG15" i="27"/>
  <c r="AQ14" i="27"/>
  <c r="AG14" i="27"/>
  <c r="AQ13" i="27"/>
  <c r="AG13" i="27"/>
  <c r="AQ12" i="27"/>
  <c r="AQ11" i="27"/>
  <c r="W11" i="27"/>
  <c r="W12" i="27" s="1"/>
  <c r="AQ10" i="27"/>
  <c r="AD10" i="27"/>
  <c r="AD11" i="27" s="1"/>
  <c r="AD12" i="27" s="1"/>
  <c r="AD13" i="27" s="1"/>
  <c r="AD14" i="27" s="1"/>
  <c r="AD15" i="27" s="1"/>
  <c r="AD16" i="27" s="1"/>
  <c r="AD17" i="27" s="1"/>
  <c r="AD18" i="27" s="1"/>
  <c r="AD19" i="27" s="1"/>
  <c r="AD20" i="27" s="1"/>
  <c r="AD21" i="27" s="1"/>
  <c r="AD22" i="27" s="1"/>
  <c r="AD23" i="27" s="1"/>
  <c r="AD24" i="27" s="1"/>
  <c r="AD25" i="27" s="1"/>
  <c r="AD26" i="27" s="1"/>
  <c r="AD27" i="27" s="1"/>
  <c r="Y10" i="27"/>
  <c r="Y11" i="27" s="1"/>
  <c r="W10" i="27"/>
  <c r="AQ9" i="27"/>
  <c r="AQ8" i="27"/>
  <c r="AQ7" i="27"/>
  <c r="AQ6" i="27"/>
  <c r="W6" i="27"/>
  <c r="W7" i="27" s="1"/>
  <c r="AQ5" i="27"/>
  <c r="AF5" i="27"/>
  <c r="AF6" i="27" s="1"/>
  <c r="AF7" i="27" s="1"/>
  <c r="AF8" i="27" s="1"/>
  <c r="AF9" i="27" s="1"/>
  <c r="AE5" i="27"/>
  <c r="AE6" i="27" s="1"/>
  <c r="AE7" i="27" s="1"/>
  <c r="AE8" i="27" s="1"/>
  <c r="AE9" i="27" s="1"/>
  <c r="AE10" i="27" s="1"/>
  <c r="AE11" i="27" s="1"/>
  <c r="AE12" i="27" s="1"/>
  <c r="AE13" i="27" s="1"/>
  <c r="AE14" i="27" s="1"/>
  <c r="AE15" i="27" s="1"/>
  <c r="AE16" i="27" s="1"/>
  <c r="AE17" i="27" s="1"/>
  <c r="AE18" i="27" s="1"/>
  <c r="AE19" i="27" s="1"/>
  <c r="AE20" i="27" s="1"/>
  <c r="AE21" i="27" s="1"/>
  <c r="AE22" i="27" s="1"/>
  <c r="AE23" i="27" s="1"/>
  <c r="AE24" i="27" s="1"/>
  <c r="AE25" i="27" s="1"/>
  <c r="AE26" i="27" s="1"/>
  <c r="AE27" i="27" s="1"/>
  <c r="W5" i="27"/>
  <c r="AL5" i="27" s="1"/>
  <c r="O5" i="27"/>
  <c r="O6" i="27" s="1"/>
  <c r="O7" i="27" s="1"/>
  <c r="O8" i="27" s="1"/>
  <c r="O9" i="27" s="1"/>
  <c r="O10" i="27" s="1"/>
  <c r="O11" i="27" s="1"/>
  <c r="O12" i="27" s="1"/>
  <c r="O13" i="27" s="1"/>
  <c r="O14" i="27" s="1"/>
  <c r="O15" i="27" s="1"/>
  <c r="O16" i="27" s="1"/>
  <c r="O17" i="27" s="1"/>
  <c r="O18" i="27" s="1"/>
  <c r="O19" i="27" s="1"/>
  <c r="O20" i="27" s="1"/>
  <c r="O21" i="27" s="1"/>
  <c r="O22" i="27" s="1"/>
  <c r="O23" i="27" s="1"/>
  <c r="O24" i="27" s="1"/>
  <c r="O25" i="27" s="1"/>
  <c r="O26" i="27" s="1"/>
  <c r="O27" i="27" s="1"/>
  <c r="O28" i="27" s="1"/>
  <c r="O29" i="27" s="1"/>
  <c r="O30" i="27" s="1"/>
  <c r="O31" i="27" s="1"/>
  <c r="O32" i="27" s="1"/>
  <c r="O33" i="27" s="1"/>
  <c r="O34" i="27" s="1"/>
  <c r="O35" i="27" s="1"/>
  <c r="O36" i="27" s="1"/>
  <c r="O37" i="27" s="1"/>
  <c r="O38" i="27" s="1"/>
  <c r="O39" i="27" s="1"/>
  <c r="O40" i="27" s="1"/>
  <c r="O41" i="27" s="1"/>
  <c r="O42" i="27" s="1"/>
  <c r="O43" i="27" s="1"/>
  <c r="O44" i="27" s="1"/>
  <c r="O45" i="27" s="1"/>
  <c r="O46" i="27" s="1"/>
  <c r="O47" i="27" s="1"/>
  <c r="O48" i="27" s="1"/>
  <c r="O49" i="27" s="1"/>
  <c r="O50" i="27" s="1"/>
  <c r="O51" i="27" s="1"/>
  <c r="O52" i="27" s="1"/>
  <c r="O53" i="27" s="1"/>
  <c r="AT4" i="27"/>
  <c r="AT5" i="27" s="1"/>
  <c r="AT6" i="27" s="1"/>
  <c r="AT7" i="27" s="1"/>
  <c r="AT8" i="27" s="1"/>
  <c r="AT9" i="27" s="1"/>
  <c r="AT10" i="27" s="1"/>
  <c r="AT11" i="27" s="1"/>
  <c r="AT12" i="27" s="1"/>
  <c r="AT13" i="27" s="1"/>
  <c r="AT14" i="27" s="1"/>
  <c r="AT15" i="27" s="1"/>
  <c r="AT16" i="27" s="1"/>
  <c r="AT17" i="27" s="1"/>
  <c r="AT18" i="27" s="1"/>
  <c r="AT19" i="27" s="1"/>
  <c r="AT20" i="27" s="1"/>
  <c r="AT21" i="27" s="1"/>
  <c r="AT22" i="27" s="1"/>
  <c r="AT23" i="27" s="1"/>
  <c r="AT24" i="27" s="1"/>
  <c r="AT25" i="27" s="1"/>
  <c r="AT26" i="27" s="1"/>
  <c r="AT27" i="27" s="1"/>
  <c r="T28" i="27" s="1"/>
  <c r="AS4" i="27"/>
  <c r="AS5" i="27" s="1"/>
  <c r="AS6" i="27" s="1"/>
  <c r="AS7" i="27" s="1"/>
  <c r="AS8" i="27" s="1"/>
  <c r="AS9" i="27" s="1"/>
  <c r="AS10" i="27" s="1"/>
  <c r="AS11" i="27" s="1"/>
  <c r="AS12" i="27" s="1"/>
  <c r="AS13" i="27" s="1"/>
  <c r="AS14" i="27" s="1"/>
  <c r="AS15" i="27" s="1"/>
  <c r="AS16" i="27" s="1"/>
  <c r="AS17" i="27" s="1"/>
  <c r="AS18" i="27" s="1"/>
  <c r="AS19" i="27" s="1"/>
  <c r="AS20" i="27" s="1"/>
  <c r="AS21" i="27" s="1"/>
  <c r="AS22" i="27" s="1"/>
  <c r="AS23" i="27" s="1"/>
  <c r="AS24" i="27" s="1"/>
  <c r="AS25" i="27" s="1"/>
  <c r="AS26" i="27" s="1"/>
  <c r="AS27" i="27" s="1"/>
  <c r="S28" i="27" s="1"/>
  <c r="S29" i="27" s="1"/>
  <c r="S30" i="27" s="1"/>
  <c r="S31" i="27" s="1"/>
  <c r="S32" i="27" s="1"/>
  <c r="S33" i="27" s="1"/>
  <c r="S34" i="27" s="1"/>
  <c r="S35" i="27" s="1"/>
  <c r="S36" i="27" s="1"/>
  <c r="S37" i="27" s="1"/>
  <c r="S38" i="27" s="1"/>
  <c r="S39" i="27" s="1"/>
  <c r="S40" i="27" s="1"/>
  <c r="S41" i="27" s="1"/>
  <c r="S42" i="27" s="1"/>
  <c r="S43" i="27" s="1"/>
  <c r="S44" i="27" s="1"/>
  <c r="S45" i="27" s="1"/>
  <c r="S46" i="27" s="1"/>
  <c r="S47" i="27" s="1"/>
  <c r="AQ4" i="27"/>
  <c r="AH4" i="27"/>
  <c r="AH5" i="27" s="1"/>
  <c r="AH6" i="27" s="1"/>
  <c r="AH7" i="27" s="1"/>
  <c r="AH8" i="27" s="1"/>
  <c r="AH9" i="27" s="1"/>
  <c r="AH10" i="27" s="1"/>
  <c r="AH11" i="27" s="1"/>
  <c r="AH12" i="27" s="1"/>
  <c r="AH13" i="27" s="1"/>
  <c r="AH14" i="27" s="1"/>
  <c r="AH15" i="27" s="1"/>
  <c r="AH16" i="27" s="1"/>
  <c r="AH17" i="27" s="1"/>
  <c r="AH18" i="27" s="1"/>
  <c r="AH19" i="27" s="1"/>
  <c r="AH20" i="27" s="1"/>
  <c r="AH21" i="27" s="1"/>
  <c r="AH22" i="27" s="1"/>
  <c r="AH23" i="27" s="1"/>
  <c r="AF4" i="27"/>
  <c r="AE4" i="27"/>
  <c r="AD4" i="27"/>
  <c r="AD5" i="27" s="1"/>
  <c r="AD6" i="27" s="1"/>
  <c r="AD7" i="27" s="1"/>
  <c r="AD8" i="27" s="1"/>
  <c r="Z4" i="27"/>
  <c r="Z5" i="27" s="1"/>
  <c r="Z6" i="27" s="1"/>
  <c r="Z7" i="27" s="1"/>
  <c r="Z8" i="27" s="1"/>
  <c r="Z9" i="27" s="1"/>
  <c r="Y4" i="27"/>
  <c r="Y5" i="27" s="1"/>
  <c r="Y6" i="27" s="1"/>
  <c r="Y7" i="27" s="1"/>
  <c r="Y8" i="27" s="1"/>
  <c r="W4" i="27"/>
  <c r="O4" i="27"/>
  <c r="M4" i="27"/>
  <c r="M5" i="27" s="1"/>
  <c r="M6" i="27" s="1"/>
  <c r="M7" i="27" s="1"/>
  <c r="M8" i="27" s="1"/>
  <c r="M9" i="27" s="1"/>
  <c r="M10" i="27" s="1"/>
  <c r="M11" i="27" s="1"/>
  <c r="M12" i="27" s="1"/>
  <c r="M13" i="27" s="1"/>
  <c r="M14" i="27" s="1"/>
  <c r="M15" i="27" s="1"/>
  <c r="M16" i="27" s="1"/>
  <c r="M17" i="27" s="1"/>
  <c r="M18" i="27" s="1"/>
  <c r="M19" i="27" s="1"/>
  <c r="M20" i="27" s="1"/>
  <c r="M21" i="27" s="1"/>
  <c r="M22" i="27" s="1"/>
  <c r="M23" i="27" s="1"/>
  <c r="M24" i="27" s="1"/>
  <c r="M25" i="27" s="1"/>
  <c r="M26" i="27" s="1"/>
  <c r="M27" i="27" s="1"/>
  <c r="L4" i="27"/>
  <c r="L5" i="27" s="1"/>
  <c r="J4" i="27"/>
  <c r="AL3" i="27"/>
  <c r="U3" i="27"/>
  <c r="AM3" i="27" s="1"/>
  <c r="AP3" i="31" l="1"/>
  <c r="W4" i="31"/>
  <c r="AW6" i="31"/>
  <c r="AW7" i="31" s="1"/>
  <c r="AW8" i="31" s="1"/>
  <c r="AW9" i="31" s="1"/>
  <c r="AW10" i="31" s="1"/>
  <c r="AW11" i="31" s="1"/>
  <c r="AO4" i="31"/>
  <c r="AS5" i="28"/>
  <c r="AS6" i="28" s="1"/>
  <c r="AS7" i="28" s="1"/>
  <c r="AS8" i="28" s="1"/>
  <c r="AS9" i="28" s="1"/>
  <c r="AS10" i="28" s="1"/>
  <c r="AS11" i="28" s="1"/>
  <c r="AS12" i="28" s="1"/>
  <c r="AS13" i="28" s="1"/>
  <c r="AS14" i="28" s="1"/>
  <c r="AS15" i="28" s="1"/>
  <c r="AS16" i="28" s="1"/>
  <c r="AS17" i="28" s="1"/>
  <c r="AS18" i="28" s="1"/>
  <c r="AS19" i="28" s="1"/>
  <c r="AS20" i="28" s="1"/>
  <c r="AS21" i="28" s="1"/>
  <c r="AS22" i="28" s="1"/>
  <c r="AS23" i="28" s="1"/>
  <c r="AS24" i="28" s="1"/>
  <c r="AS25" i="28" s="1"/>
  <c r="AS26" i="28" s="1"/>
  <c r="AS27" i="28" s="1"/>
  <c r="S28" i="28" s="1"/>
  <c r="S29" i="28" s="1"/>
  <c r="S30" i="28" s="1"/>
  <c r="S31" i="28" s="1"/>
  <c r="S32" i="28" s="1"/>
  <c r="S33" i="28" s="1"/>
  <c r="S34" i="28" s="1"/>
  <c r="S35" i="28" s="1"/>
  <c r="S36" i="28" s="1"/>
  <c r="S37" i="28" s="1"/>
  <c r="S38" i="28" s="1"/>
  <c r="S39" i="28" s="1"/>
  <c r="S40" i="28" s="1"/>
  <c r="S41" i="28" s="1"/>
  <c r="S42" i="28" s="1"/>
  <c r="S43" i="28" s="1"/>
  <c r="S44" i="28" s="1"/>
  <c r="S45" i="28" s="1"/>
  <c r="S46" i="28" s="1"/>
  <c r="S47" i="28" s="1"/>
  <c r="Z10" i="32"/>
  <c r="AL9" i="32"/>
  <c r="L6" i="32"/>
  <c r="AP5" i="32"/>
  <c r="W12" i="32"/>
  <c r="AL5" i="32"/>
  <c r="W6" i="32"/>
  <c r="W25" i="32"/>
  <c r="AL29" i="32"/>
  <c r="AI30" i="32"/>
  <c r="AL4" i="32"/>
  <c r="N4" i="32"/>
  <c r="AP4" i="32"/>
  <c r="AR4" i="32" s="1"/>
  <c r="AR5" i="32" s="1"/>
  <c r="U4" i="32"/>
  <c r="AM4" i="32" s="1"/>
  <c r="AN4" i="32" s="1"/>
  <c r="J5" i="32" s="1"/>
  <c r="AO6" i="31"/>
  <c r="AW12" i="31"/>
  <c r="AW13" i="31" s="1"/>
  <c r="AW14" i="31" s="1"/>
  <c r="AW15" i="31" s="1"/>
  <c r="AW16" i="31" s="1"/>
  <c r="AW17" i="31" s="1"/>
  <c r="AW18" i="31" s="1"/>
  <c r="AW19" i="31" s="1"/>
  <c r="AW20" i="31" s="1"/>
  <c r="AW21" i="31" s="1"/>
  <c r="AW22" i="31" s="1"/>
  <c r="AW23" i="31" s="1"/>
  <c r="AW24" i="31" s="1"/>
  <c r="AW25" i="31" s="1"/>
  <c r="AW26" i="31" s="1"/>
  <c r="AW27" i="31" s="1"/>
  <c r="U28" i="31" s="1"/>
  <c r="U29" i="31" s="1"/>
  <c r="U30" i="31" s="1"/>
  <c r="U31" i="31" s="1"/>
  <c r="U32" i="31" s="1"/>
  <c r="U33" i="31" s="1"/>
  <c r="U34" i="31" s="1"/>
  <c r="U35" i="31" s="1"/>
  <c r="U36" i="31" s="1"/>
  <c r="U37" i="31" s="1"/>
  <c r="U38" i="31" s="1"/>
  <c r="U39" i="31" s="1"/>
  <c r="U40" i="31" s="1"/>
  <c r="U41" i="31" s="1"/>
  <c r="U42" i="31" s="1"/>
  <c r="U43" i="31" s="1"/>
  <c r="U44" i="31" s="1"/>
  <c r="U45" i="31" s="1"/>
  <c r="U46" i="31" s="1"/>
  <c r="U47" i="31" s="1"/>
  <c r="AL30" i="31"/>
  <c r="AO29" i="31"/>
  <c r="X4" i="31"/>
  <c r="AR4" i="31" s="1"/>
  <c r="K5" i="31" s="1"/>
  <c r="Z7" i="31"/>
  <c r="AO9" i="31"/>
  <c r="AC10" i="31"/>
  <c r="AC11" i="31" s="1"/>
  <c r="AC12" i="31" s="1"/>
  <c r="AC13" i="31" s="1"/>
  <c r="AC14" i="31" s="1"/>
  <c r="AC15" i="31" s="1"/>
  <c r="Z12" i="31"/>
  <c r="AO5" i="31"/>
  <c r="Z17" i="31"/>
  <c r="Z25" i="31"/>
  <c r="AO28" i="31"/>
  <c r="N5" i="31"/>
  <c r="M6" i="30"/>
  <c r="M7" i="30" s="1"/>
  <c r="M8" i="30" s="1"/>
  <c r="M9" i="30" s="1"/>
  <c r="M10" i="30" s="1"/>
  <c r="M11" i="30" s="1"/>
  <c r="M12" i="30" s="1"/>
  <c r="M13" i="30" s="1"/>
  <c r="M14" i="30" s="1"/>
  <c r="M15" i="30" s="1"/>
  <c r="M16" i="30" s="1"/>
  <c r="M17" i="30" s="1"/>
  <c r="X6" i="30"/>
  <c r="AM5" i="30"/>
  <c r="X26" i="30"/>
  <c r="X12" i="30"/>
  <c r="AA10" i="30"/>
  <c r="AA11" i="30" s="1"/>
  <c r="AA12" i="30" s="1"/>
  <c r="AA13" i="30" s="1"/>
  <c r="AA14" i="30" s="1"/>
  <c r="AA15" i="30" s="1"/>
  <c r="AM9" i="30"/>
  <c r="L7" i="30"/>
  <c r="AQ6" i="30"/>
  <c r="X18" i="30"/>
  <c r="AM4" i="30"/>
  <c r="AQ5" i="30"/>
  <c r="N4" i="30"/>
  <c r="V4" i="30" s="1"/>
  <c r="AN4" i="30" s="1"/>
  <c r="AO4" i="30" s="1"/>
  <c r="J5" i="30" s="1"/>
  <c r="AQ4" i="30"/>
  <c r="AS4" i="30" s="1"/>
  <c r="AS5" i="30" s="1"/>
  <c r="AS6" i="30" s="1"/>
  <c r="AJ29" i="30"/>
  <c r="W6" i="29"/>
  <c r="AM5" i="29"/>
  <c r="L9" i="29"/>
  <c r="AQ8" i="29"/>
  <c r="AM28" i="29"/>
  <c r="AI29" i="29"/>
  <c r="Z10" i="29"/>
  <c r="AM9" i="29"/>
  <c r="AS5" i="29"/>
  <c r="AS6" i="29" s="1"/>
  <c r="AS7" i="29" s="1"/>
  <c r="AS8" i="29" s="1"/>
  <c r="W12" i="29"/>
  <c r="W19" i="29"/>
  <c r="W24" i="29"/>
  <c r="AO4" i="29"/>
  <c r="J5" i="29" s="1"/>
  <c r="AQ7" i="29"/>
  <c r="AQ6" i="29"/>
  <c r="AM4" i="29"/>
  <c r="AQ5" i="29"/>
  <c r="N4" i="29"/>
  <c r="U4" i="29" s="1"/>
  <c r="AN4" i="29" s="1"/>
  <c r="W26" i="28"/>
  <c r="L6" i="28"/>
  <c r="AP5" i="28"/>
  <c r="AL9" i="28"/>
  <c r="Z10" i="28"/>
  <c r="Z11" i="28" s="1"/>
  <c r="Z12" i="28" s="1"/>
  <c r="Z13" i="28" s="1"/>
  <c r="Z14" i="28" s="1"/>
  <c r="Z15" i="28" s="1"/>
  <c r="W19" i="28"/>
  <c r="W8" i="28"/>
  <c r="AL8" i="28" s="1"/>
  <c r="AL7" i="28"/>
  <c r="W12" i="28"/>
  <c r="AL4" i="28"/>
  <c r="AP4" i="28"/>
  <c r="AR4" i="28" s="1"/>
  <c r="AR5" i="28" s="1"/>
  <c r="U4" i="28"/>
  <c r="AM4" i="28" s="1"/>
  <c r="AN4" i="28" s="1"/>
  <c r="J5" i="28" s="1"/>
  <c r="AL6" i="28"/>
  <c r="AI29" i="28"/>
  <c r="Y12" i="27"/>
  <c r="Y13" i="27" s="1"/>
  <c r="Y14" i="27" s="1"/>
  <c r="AL9" i="27"/>
  <c r="Z10" i="27"/>
  <c r="Z11" i="27" s="1"/>
  <c r="Z12" i="27" s="1"/>
  <c r="Z13" i="27" s="1"/>
  <c r="Z14" i="27" s="1"/>
  <c r="Z15" i="27" s="1"/>
  <c r="W8" i="27"/>
  <c r="AL8" i="27" s="1"/>
  <c r="AL7" i="27"/>
  <c r="AL12" i="27"/>
  <c r="W13" i="27"/>
  <c r="AP5" i="27"/>
  <c r="L6" i="27"/>
  <c r="W19" i="27"/>
  <c r="W24" i="27"/>
  <c r="AP4" i="27"/>
  <c r="AR4" i="27" s="1"/>
  <c r="N4" i="27"/>
  <c r="U4" i="27"/>
  <c r="AL10" i="27"/>
  <c r="AL4" i="27"/>
  <c r="AL6" i="27"/>
  <c r="AI29" i="27"/>
  <c r="AO11" i="31" l="1"/>
  <c r="AP4" i="31"/>
  <c r="AQ4" i="31" s="1"/>
  <c r="J5" i="31" s="1"/>
  <c r="AO10" i="31"/>
  <c r="N5" i="32"/>
  <c r="U5" i="32" s="1"/>
  <c r="AM5" i="32" s="1"/>
  <c r="AN5" i="32" s="1"/>
  <c r="J6" i="32" s="1"/>
  <c r="AP6" i="32"/>
  <c r="L7" i="32"/>
  <c r="AL30" i="32"/>
  <c r="AI31" i="32"/>
  <c r="W7" i="32"/>
  <c r="AL6" i="32"/>
  <c r="AR6" i="32"/>
  <c r="W13" i="32"/>
  <c r="W26" i="32"/>
  <c r="Z11" i="32"/>
  <c r="AL10" i="32"/>
  <c r="P5" i="31"/>
  <c r="Z26" i="31"/>
  <c r="AO30" i="31"/>
  <c r="AL31" i="31"/>
  <c r="Z18" i="31"/>
  <c r="W5" i="31"/>
  <c r="AP5" i="31" s="1"/>
  <c r="AQ5" i="31" s="1"/>
  <c r="J6" i="31" s="1"/>
  <c r="N6" i="31"/>
  <c r="AT5" i="31"/>
  <c r="AV5" i="31" s="1"/>
  <c r="X5" i="31"/>
  <c r="AR5" i="31" s="1"/>
  <c r="K6" i="31" s="1"/>
  <c r="AO7" i="31"/>
  <c r="Z8" i="31"/>
  <c r="AO8" i="31" s="1"/>
  <c r="AO12" i="31"/>
  <c r="Z13" i="31"/>
  <c r="AO15" i="31"/>
  <c r="AC16" i="31"/>
  <c r="N5" i="30"/>
  <c r="V5" i="30" s="1"/>
  <c r="AN5" i="30" s="1"/>
  <c r="AO5" i="30" s="1"/>
  <c r="J6" i="30" s="1"/>
  <c r="X13" i="30"/>
  <c r="AM12" i="30"/>
  <c r="AQ7" i="30"/>
  <c r="AS7" i="30" s="1"/>
  <c r="L8" i="30"/>
  <c r="X7" i="30"/>
  <c r="AM6" i="30"/>
  <c r="AM10" i="30"/>
  <c r="AA16" i="30"/>
  <c r="AM15" i="30"/>
  <c r="AM11" i="30"/>
  <c r="X19" i="30"/>
  <c r="AM29" i="30"/>
  <c r="AJ30" i="30"/>
  <c r="W25" i="29"/>
  <c r="W20" i="29"/>
  <c r="U9" i="29"/>
  <c r="AN9" i="29" s="1"/>
  <c r="AQ9" i="29"/>
  <c r="AS9" i="29" s="1"/>
  <c r="L10" i="29"/>
  <c r="AM29" i="29"/>
  <c r="AI30" i="29"/>
  <c r="W13" i="29"/>
  <c r="AO5" i="29"/>
  <c r="J6" i="29" s="1"/>
  <c r="N5" i="29"/>
  <c r="U5" i="29" s="1"/>
  <c r="AN5" i="29" s="1"/>
  <c r="W7" i="29"/>
  <c r="AM6" i="29"/>
  <c r="Z11" i="29"/>
  <c r="AM10" i="29"/>
  <c r="N5" i="28"/>
  <c r="U5" i="28" s="1"/>
  <c r="AM5" i="28" s="1"/>
  <c r="AN5" i="28"/>
  <c r="J6" i="28" s="1"/>
  <c r="W20" i="28"/>
  <c r="AP6" i="28"/>
  <c r="AR6" i="28" s="1"/>
  <c r="L7" i="28"/>
  <c r="AL12" i="28"/>
  <c r="W13" i="28"/>
  <c r="Z16" i="28"/>
  <c r="AL15" i="28"/>
  <c r="AL29" i="28"/>
  <c r="AI30" i="28"/>
  <c r="AL10" i="28"/>
  <c r="AL11" i="28"/>
  <c r="AP6" i="27"/>
  <c r="L7" i="27"/>
  <c r="W25" i="27"/>
  <c r="AM4" i="27"/>
  <c r="AN4" i="27" s="1"/>
  <c r="J5" i="27" s="1"/>
  <c r="AL13" i="27"/>
  <c r="W14" i="27"/>
  <c r="AL14" i="27" s="1"/>
  <c r="Z16" i="27"/>
  <c r="AL15" i="27"/>
  <c r="W20" i="27"/>
  <c r="AL11" i="27"/>
  <c r="AR5" i="27"/>
  <c r="AR6" i="27" s="1"/>
  <c r="AL29" i="27"/>
  <c r="AI30" i="27"/>
  <c r="N6" i="32" l="1"/>
  <c r="U6" i="32" s="1"/>
  <c r="AM6" i="32" s="1"/>
  <c r="AN6" i="32" s="1"/>
  <c r="J7" i="32" s="1"/>
  <c r="W14" i="32"/>
  <c r="W8" i="32"/>
  <c r="AL8" i="32" s="1"/>
  <c r="AL7" i="32"/>
  <c r="AL31" i="32"/>
  <c r="AI32" i="32"/>
  <c r="AP7" i="32"/>
  <c r="AR7" i="32" s="1"/>
  <c r="L8" i="32"/>
  <c r="Z12" i="32"/>
  <c r="AL11" i="32"/>
  <c r="P6" i="31"/>
  <c r="W6" i="31" s="1"/>
  <c r="AP6" i="31" s="1"/>
  <c r="AQ6" i="31" s="1"/>
  <c r="J7" i="31" s="1"/>
  <c r="N7" i="31"/>
  <c r="X6" i="31"/>
  <c r="AR6" i="31" s="1"/>
  <c r="K7" i="31" s="1"/>
  <c r="AT6" i="31"/>
  <c r="AV6" i="31" s="1"/>
  <c r="Z19" i="31"/>
  <c r="AC17" i="31"/>
  <c r="AO16" i="31"/>
  <c r="AL32" i="31"/>
  <c r="AO31" i="31"/>
  <c r="AO13" i="31"/>
  <c r="Z14" i="31"/>
  <c r="AO14" i="31" s="1"/>
  <c r="N6" i="30"/>
  <c r="V6" i="30" s="1"/>
  <c r="AN6" i="30" s="1"/>
  <c r="AO6" i="30" s="1"/>
  <c r="J7" i="30" s="1"/>
  <c r="AQ8" i="30"/>
  <c r="AS8" i="30" s="1"/>
  <c r="L9" i="30"/>
  <c r="AM30" i="30"/>
  <c r="AJ31" i="30"/>
  <c r="X14" i="30"/>
  <c r="AM14" i="30" s="1"/>
  <c r="AM13" i="30"/>
  <c r="X20" i="30"/>
  <c r="X8" i="30"/>
  <c r="AM8" i="30" s="1"/>
  <c r="AM7" i="30"/>
  <c r="AA17" i="30"/>
  <c r="AM16" i="30"/>
  <c r="W14" i="29"/>
  <c r="N6" i="29"/>
  <c r="U6" i="29" s="1"/>
  <c r="AN6" i="29" s="1"/>
  <c r="AO6" i="29" s="1"/>
  <c r="J7" i="29" s="1"/>
  <c r="AQ10" i="29"/>
  <c r="AS10" i="29" s="1"/>
  <c r="L11" i="29"/>
  <c r="Z12" i="29"/>
  <c r="AM11" i="29"/>
  <c r="AM30" i="29"/>
  <c r="AI31" i="29"/>
  <c r="W8" i="29"/>
  <c r="AM8" i="29" s="1"/>
  <c r="AM7" i="29"/>
  <c r="W26" i="29"/>
  <c r="AL16" i="28"/>
  <c r="Z17" i="28"/>
  <c r="AP7" i="28"/>
  <c r="AR7" i="28" s="1"/>
  <c r="L8" i="28"/>
  <c r="AL13" i="28"/>
  <c r="W14" i="28"/>
  <c r="AL14" i="28" s="1"/>
  <c r="AL30" i="28"/>
  <c r="AI31" i="28"/>
  <c r="AN6" i="28"/>
  <c r="J7" i="28" s="1"/>
  <c r="N6" i="28"/>
  <c r="U6" i="28" s="1"/>
  <c r="AM6" i="28" s="1"/>
  <c r="N5" i="27"/>
  <c r="U5" i="27" s="1"/>
  <c r="AM5" i="27" s="1"/>
  <c r="AN5" i="27"/>
  <c r="J6" i="27" s="1"/>
  <c r="AL30" i="27"/>
  <c r="AI31" i="27"/>
  <c r="W26" i="27"/>
  <c r="AP7" i="27"/>
  <c r="L8" i="27"/>
  <c r="AR7" i="27"/>
  <c r="Z17" i="27"/>
  <c r="AL16" i="27"/>
  <c r="N7" i="32" l="1"/>
  <c r="U7" i="32" s="1"/>
  <c r="AM7" i="32" s="1"/>
  <c r="AN7" i="32" s="1"/>
  <c r="J8" i="32" s="1"/>
  <c r="L9" i="32"/>
  <c r="AP8" i="32"/>
  <c r="AR8" i="32" s="1"/>
  <c r="AL32" i="32"/>
  <c r="AI33" i="32"/>
  <c r="Z13" i="32"/>
  <c r="AL12" i="32"/>
  <c r="P7" i="31"/>
  <c r="W7" i="31" s="1"/>
  <c r="AP7" i="31" s="1"/>
  <c r="AQ7" i="31" s="1"/>
  <c r="J8" i="31" s="1"/>
  <c r="AL33" i="31"/>
  <c r="AO32" i="31"/>
  <c r="N8" i="31"/>
  <c r="AT7" i="31"/>
  <c r="AV7" i="31" s="1"/>
  <c r="X7" i="31"/>
  <c r="AR7" i="31" s="1"/>
  <c r="K8" i="31" s="1"/>
  <c r="AC18" i="31"/>
  <c r="AO17" i="31"/>
  <c r="Z20" i="31"/>
  <c r="N7" i="30"/>
  <c r="V7" i="30" s="1"/>
  <c r="AN7" i="30" s="1"/>
  <c r="AO7" i="30" s="1"/>
  <c r="J8" i="30" s="1"/>
  <c r="AM31" i="30"/>
  <c r="AJ32" i="30"/>
  <c r="L10" i="30"/>
  <c r="V9" i="30"/>
  <c r="AN9" i="30" s="1"/>
  <c r="AQ9" i="30"/>
  <c r="AS9" i="30" s="1"/>
  <c r="AA18" i="30"/>
  <c r="AM17" i="30"/>
  <c r="N7" i="29"/>
  <c r="U7" i="29" s="1"/>
  <c r="AN7" i="29" s="1"/>
  <c r="AO7" i="29" s="1"/>
  <c r="J8" i="29" s="1"/>
  <c r="L12" i="29"/>
  <c r="AQ11" i="29"/>
  <c r="AS11" i="29" s="1"/>
  <c r="AM31" i="29"/>
  <c r="AI32" i="29"/>
  <c r="Z13" i="29"/>
  <c r="AM12" i="29"/>
  <c r="L9" i="28"/>
  <c r="AP8" i="28"/>
  <c r="AR8" i="28" s="1"/>
  <c r="Z18" i="28"/>
  <c r="AL17" i="28"/>
  <c r="N7" i="28"/>
  <c r="U7" i="28" s="1"/>
  <c r="AM7" i="28" s="1"/>
  <c r="AN7" i="28" s="1"/>
  <c r="J8" i="28" s="1"/>
  <c r="AL31" i="28"/>
  <c r="AI32" i="28"/>
  <c r="AL31" i="27"/>
  <c r="AI32" i="27"/>
  <c r="N6" i="27"/>
  <c r="U6" i="27" s="1"/>
  <c r="AM6" i="27" s="1"/>
  <c r="AN6" i="27" s="1"/>
  <c r="J7" i="27" s="1"/>
  <c r="Z18" i="27"/>
  <c r="AL17" i="27"/>
  <c r="AP8" i="27"/>
  <c r="AR8" i="27" s="1"/>
  <c r="L9" i="27"/>
  <c r="N8" i="32" l="1"/>
  <c r="U8" i="32" s="1"/>
  <c r="AM8" i="32" s="1"/>
  <c r="AN8" i="32" s="1"/>
  <c r="J9" i="32" s="1"/>
  <c r="Z14" i="32"/>
  <c r="AL13" i="32"/>
  <c r="AL33" i="32"/>
  <c r="AI34" i="32"/>
  <c r="AP9" i="32"/>
  <c r="AR9" i="32" s="1"/>
  <c r="L10" i="32"/>
  <c r="U9" i="32"/>
  <c r="AM9" i="32" s="1"/>
  <c r="P8" i="31"/>
  <c r="W8" i="31" s="1"/>
  <c r="AP8" i="31" s="1"/>
  <c r="AQ8" i="31" s="1"/>
  <c r="J9" i="31" s="1"/>
  <c r="AC19" i="31"/>
  <c r="AO18" i="31"/>
  <c r="N9" i="31"/>
  <c r="AT8" i="31"/>
  <c r="AV8" i="31" s="1"/>
  <c r="X8" i="31"/>
  <c r="AR8" i="31" s="1"/>
  <c r="K9" i="31" s="1"/>
  <c r="AL34" i="31"/>
  <c r="AO33" i="31"/>
  <c r="N8" i="30"/>
  <c r="V8" i="30" s="1"/>
  <c r="AN8" i="30" s="1"/>
  <c r="AO8" i="30" s="1"/>
  <c r="J9" i="30" s="1"/>
  <c r="AO9" i="30" s="1"/>
  <c r="J10" i="30" s="1"/>
  <c r="AA19" i="30"/>
  <c r="AM18" i="30"/>
  <c r="L11" i="30"/>
  <c r="AQ10" i="30"/>
  <c r="AS10" i="30" s="1"/>
  <c r="AM32" i="30"/>
  <c r="AJ33" i="30"/>
  <c r="N8" i="29"/>
  <c r="U8" i="29" s="1"/>
  <c r="AN8" i="29" s="1"/>
  <c r="AO8" i="29" s="1"/>
  <c r="J9" i="29" s="1"/>
  <c r="AO9" i="29" s="1"/>
  <c r="J10" i="29" s="1"/>
  <c r="Z14" i="29"/>
  <c r="AM13" i="29"/>
  <c r="AI33" i="29"/>
  <c r="AM32" i="29"/>
  <c r="AQ12" i="29"/>
  <c r="AS12" i="29" s="1"/>
  <c r="L13" i="29"/>
  <c r="N8" i="28"/>
  <c r="U8" i="28" s="1"/>
  <c r="AM8" i="28" s="1"/>
  <c r="AN8" i="28" s="1"/>
  <c r="J9" i="28" s="1"/>
  <c r="AN9" i="28" s="1"/>
  <c r="J10" i="28" s="1"/>
  <c r="AL32" i="28"/>
  <c r="AI33" i="28"/>
  <c r="Z19" i="28"/>
  <c r="AL18" i="28"/>
  <c r="L10" i="28"/>
  <c r="U9" i="28"/>
  <c r="AM9" i="28" s="1"/>
  <c r="AP9" i="28"/>
  <c r="AR9" i="28" s="1"/>
  <c r="N7" i="27"/>
  <c r="U7" i="27" s="1"/>
  <c r="AM7" i="27" s="1"/>
  <c r="AN7" i="27" s="1"/>
  <c r="J8" i="27" s="1"/>
  <c r="L10" i="27"/>
  <c r="U9" i="27"/>
  <c r="AM9" i="27" s="1"/>
  <c r="AP9" i="27"/>
  <c r="AR9" i="27" s="1"/>
  <c r="Z19" i="27"/>
  <c r="AL18" i="27"/>
  <c r="AL32" i="27"/>
  <c r="AI33" i="27"/>
  <c r="AN9" i="32" l="1"/>
  <c r="J10" i="32" s="1"/>
  <c r="N10" i="32"/>
  <c r="U10" i="32"/>
  <c r="AM10" i="32" s="1"/>
  <c r="AN10" i="32" s="1"/>
  <c r="J11" i="32" s="1"/>
  <c r="AP10" i="32"/>
  <c r="AR10" i="32" s="1"/>
  <c r="L11" i="32"/>
  <c r="AL34" i="32"/>
  <c r="AI35" i="32"/>
  <c r="Z15" i="32"/>
  <c r="AL14" i="32"/>
  <c r="AO34" i="31"/>
  <c r="AL35" i="31"/>
  <c r="N10" i="31"/>
  <c r="X9" i="31"/>
  <c r="AR9" i="31" s="1"/>
  <c r="K10" i="31" s="1"/>
  <c r="W9" i="31"/>
  <c r="AP9" i="31" s="1"/>
  <c r="AQ9" i="31" s="1"/>
  <c r="J10" i="31" s="1"/>
  <c r="AT9" i="31"/>
  <c r="AV9" i="31" s="1"/>
  <c r="AC20" i="31"/>
  <c r="AO19" i="31"/>
  <c r="N10" i="30"/>
  <c r="V10" i="30" s="1"/>
  <c r="AN10" i="30" s="1"/>
  <c r="AO10" i="30" s="1"/>
  <c r="J11" i="30" s="1"/>
  <c r="AM33" i="30"/>
  <c r="AJ34" i="30"/>
  <c r="AQ11" i="30"/>
  <c r="AS11" i="30" s="1"/>
  <c r="L12" i="30"/>
  <c r="AA20" i="30"/>
  <c r="AM19" i="30"/>
  <c r="N10" i="29"/>
  <c r="U10" i="29" s="1"/>
  <c r="AN10" i="29" s="1"/>
  <c r="AO10" i="29" s="1"/>
  <c r="J11" i="29" s="1"/>
  <c r="AQ13" i="29"/>
  <c r="AS13" i="29" s="1"/>
  <c r="L14" i="29"/>
  <c r="AI34" i="29"/>
  <c r="AM33" i="29"/>
  <c r="Z15" i="29"/>
  <c r="AM14" i="29"/>
  <c r="N10" i="28"/>
  <c r="U10" i="28"/>
  <c r="AM10" i="28" s="1"/>
  <c r="AN10" i="28" s="1"/>
  <c r="J11" i="28" s="1"/>
  <c r="AP10" i="28"/>
  <c r="AR10" i="28" s="1"/>
  <c r="L11" i="28"/>
  <c r="Z20" i="28"/>
  <c r="AL19" i="28"/>
  <c r="AL33" i="28"/>
  <c r="AI34" i="28"/>
  <c r="N8" i="27"/>
  <c r="U8" i="27" s="1"/>
  <c r="AM8" i="27" s="1"/>
  <c r="AN8" i="27" s="1"/>
  <c r="J9" i="27" s="1"/>
  <c r="AN9" i="27" s="1"/>
  <c r="J10" i="27" s="1"/>
  <c r="Z20" i="27"/>
  <c r="AL19" i="27"/>
  <c r="AP10" i="27"/>
  <c r="AR10" i="27" s="1"/>
  <c r="L11" i="27"/>
  <c r="AL33" i="27"/>
  <c r="AI34" i="27"/>
  <c r="N11" i="32" l="1"/>
  <c r="L12" i="32"/>
  <c r="U11" i="32"/>
  <c r="AM11" i="32" s="1"/>
  <c r="AN11" i="32" s="1"/>
  <c r="J12" i="32" s="1"/>
  <c r="AP11" i="32"/>
  <c r="AR11" i="32" s="1"/>
  <c r="AL35" i="32"/>
  <c r="AI36" i="32"/>
  <c r="AL15" i="32"/>
  <c r="Z16" i="32"/>
  <c r="P10" i="31"/>
  <c r="AC21" i="31"/>
  <c r="AO20" i="31"/>
  <c r="W10" i="31"/>
  <c r="AP10" i="31" s="1"/>
  <c r="AQ10" i="31" s="1"/>
  <c r="J11" i="31" s="1"/>
  <c r="N11" i="31"/>
  <c r="AT10" i="31"/>
  <c r="AV10" i="31" s="1"/>
  <c r="X10" i="31"/>
  <c r="AR10" i="31" s="1"/>
  <c r="K11" i="31" s="1"/>
  <c r="AL36" i="31"/>
  <c r="AO35" i="31"/>
  <c r="N11" i="30"/>
  <c r="V11" i="30" s="1"/>
  <c r="AN11" i="30" s="1"/>
  <c r="AO11" i="30" s="1"/>
  <c r="J12" i="30" s="1"/>
  <c r="AM34" i="30"/>
  <c r="AJ35" i="30"/>
  <c r="AA21" i="30"/>
  <c r="AM20" i="30"/>
  <c r="AQ12" i="30"/>
  <c r="AS12" i="30" s="1"/>
  <c r="L13" i="30"/>
  <c r="N11" i="29"/>
  <c r="U11" i="29" s="1"/>
  <c r="AN11" i="29" s="1"/>
  <c r="AO11" i="29" s="1"/>
  <c r="J12" i="29" s="1"/>
  <c r="AQ14" i="29"/>
  <c r="AS14" i="29" s="1"/>
  <c r="L15" i="29"/>
  <c r="AM34" i="29"/>
  <c r="AI35" i="29"/>
  <c r="AM15" i="29"/>
  <c r="Z16" i="29"/>
  <c r="N11" i="28"/>
  <c r="U11" i="28" s="1"/>
  <c r="AM11" i="28" s="1"/>
  <c r="AN11" i="28" s="1"/>
  <c r="J12" i="28" s="1"/>
  <c r="Z21" i="28"/>
  <c r="AL20" i="28"/>
  <c r="AL34" i="28"/>
  <c r="AI35" i="28"/>
  <c r="AP11" i="28"/>
  <c r="AR11" i="28" s="1"/>
  <c r="L12" i="28"/>
  <c r="N10" i="27"/>
  <c r="U10" i="27" s="1"/>
  <c r="AM10" i="27" s="1"/>
  <c r="AN10" i="27" s="1"/>
  <c r="J11" i="27" s="1"/>
  <c r="AL34" i="27"/>
  <c r="AI35" i="27"/>
  <c r="Z21" i="27"/>
  <c r="AL20" i="27"/>
  <c r="L12" i="27"/>
  <c r="AP11" i="27"/>
  <c r="AR11" i="27" s="1"/>
  <c r="N12" i="32" l="1"/>
  <c r="Z17" i="32"/>
  <c r="AL16" i="32"/>
  <c r="AL36" i="32"/>
  <c r="AI37" i="32"/>
  <c r="L13" i="32"/>
  <c r="U12" i="32"/>
  <c r="AM12" i="32" s="1"/>
  <c r="AN12" i="32" s="1"/>
  <c r="J13" i="32" s="1"/>
  <c r="AP12" i="32"/>
  <c r="AR12" i="32" s="1"/>
  <c r="P11" i="31"/>
  <c r="AL37" i="31"/>
  <c r="AO36" i="31"/>
  <c r="W11" i="31"/>
  <c r="AP11" i="31" s="1"/>
  <c r="AQ11" i="31" s="1"/>
  <c r="J12" i="31" s="1"/>
  <c r="N12" i="31"/>
  <c r="X11" i="31"/>
  <c r="AR11" i="31" s="1"/>
  <c r="K12" i="31" s="1"/>
  <c r="AT11" i="31"/>
  <c r="AV11" i="31" s="1"/>
  <c r="AO21" i="31"/>
  <c r="AC22" i="31"/>
  <c r="N12" i="30"/>
  <c r="V12" i="30" s="1"/>
  <c r="AN12" i="30" s="1"/>
  <c r="AO12" i="30" s="1"/>
  <c r="J13" i="30" s="1"/>
  <c r="L14" i="30"/>
  <c r="AQ13" i="30"/>
  <c r="AS13" i="30" s="1"/>
  <c r="AA22" i="30"/>
  <c r="AM21" i="30"/>
  <c r="AM35" i="30"/>
  <c r="AJ36" i="30"/>
  <c r="N12" i="29"/>
  <c r="U12" i="29" s="1"/>
  <c r="AN12" i="29" s="1"/>
  <c r="AO12" i="29" s="1"/>
  <c r="J13" i="29" s="1"/>
  <c r="Z17" i="29"/>
  <c r="AM16" i="29"/>
  <c r="AM35" i="29"/>
  <c r="AI36" i="29"/>
  <c r="L16" i="29"/>
  <c r="U15" i="29"/>
  <c r="AN15" i="29" s="1"/>
  <c r="AQ15" i="29"/>
  <c r="AS15" i="29" s="1"/>
  <c r="N12" i="28"/>
  <c r="L13" i="28"/>
  <c r="U12" i="28"/>
  <c r="AM12" i="28" s="1"/>
  <c r="AN12" i="28" s="1"/>
  <c r="J13" i="28" s="1"/>
  <c r="AP12" i="28"/>
  <c r="AR12" i="28" s="1"/>
  <c r="AL35" i="28"/>
  <c r="AI36" i="28"/>
  <c r="Z22" i="28"/>
  <c r="AL21" i="28"/>
  <c r="N11" i="27"/>
  <c r="U11" i="27" s="1"/>
  <c r="AM11" i="27" s="1"/>
  <c r="AN11" i="27" s="1"/>
  <c r="J12" i="27" s="1"/>
  <c r="L13" i="27"/>
  <c r="AP12" i="27"/>
  <c r="AR12" i="27" s="1"/>
  <c r="Z22" i="27"/>
  <c r="AL21" i="27"/>
  <c r="AL35" i="27"/>
  <c r="AI36" i="27"/>
  <c r="N13" i="32" l="1"/>
  <c r="Z18" i="32"/>
  <c r="AL17" i="32"/>
  <c r="U13" i="32"/>
  <c r="AM13" i="32" s="1"/>
  <c r="AN13" i="32" s="1"/>
  <c r="J14" i="32" s="1"/>
  <c r="AP13" i="32"/>
  <c r="AR13" i="32" s="1"/>
  <c r="L14" i="32"/>
  <c r="AL37" i="32"/>
  <c r="AI38" i="32"/>
  <c r="P12" i="31"/>
  <c r="W12" i="31" s="1"/>
  <c r="AP12" i="31" s="1"/>
  <c r="AQ12" i="31" s="1"/>
  <c r="J13" i="31" s="1"/>
  <c r="N13" i="31"/>
  <c r="AT12" i="31"/>
  <c r="AV12" i="31" s="1"/>
  <c r="X12" i="31"/>
  <c r="AR12" i="31" s="1"/>
  <c r="K13" i="31" s="1"/>
  <c r="AL38" i="31"/>
  <c r="AO37" i="31"/>
  <c r="AO22" i="31"/>
  <c r="AC23" i="31"/>
  <c r="N13" i="30"/>
  <c r="V13" i="30" s="1"/>
  <c r="AN13" i="30" s="1"/>
  <c r="AO13" i="30" s="1"/>
  <c r="J14" i="30" s="1"/>
  <c r="AM36" i="30"/>
  <c r="AJ37" i="30"/>
  <c r="L15" i="30"/>
  <c r="AQ14" i="30"/>
  <c r="AS14" i="30" s="1"/>
  <c r="AA23" i="30"/>
  <c r="AM22" i="30"/>
  <c r="N13" i="29"/>
  <c r="U13" i="29" s="1"/>
  <c r="AN13" i="29" s="1"/>
  <c r="AO13" i="29" s="1"/>
  <c r="J14" i="29" s="1"/>
  <c r="L17" i="29"/>
  <c r="AQ16" i="29"/>
  <c r="AS16" i="29" s="1"/>
  <c r="Z18" i="29"/>
  <c r="AM17" i="29"/>
  <c r="AM36" i="29"/>
  <c r="AI37" i="29"/>
  <c r="N13" i="28"/>
  <c r="U13" i="28" s="1"/>
  <c r="AM13" i="28" s="1"/>
  <c r="AN13" i="28" s="1"/>
  <c r="J14" i="28" s="1"/>
  <c r="AL36" i="28"/>
  <c r="AI37" i="28"/>
  <c r="L14" i="28"/>
  <c r="AP13" i="28"/>
  <c r="AR13" i="28" s="1"/>
  <c r="Z23" i="28"/>
  <c r="AL22" i="28"/>
  <c r="N12" i="27"/>
  <c r="U12" i="27" s="1"/>
  <c r="AM12" i="27" s="1"/>
  <c r="AN12" i="27" s="1"/>
  <c r="J13" i="27" s="1"/>
  <c r="Z23" i="27"/>
  <c r="AL22" i="27"/>
  <c r="L14" i="27"/>
  <c r="AP13" i="27"/>
  <c r="AR13" i="27" s="1"/>
  <c r="AL36" i="27"/>
  <c r="AI37" i="27"/>
  <c r="N14" i="32" l="1"/>
  <c r="L15" i="32"/>
  <c r="U14" i="32"/>
  <c r="AM14" i="32" s="1"/>
  <c r="AN14" i="32" s="1"/>
  <c r="J15" i="32" s="1"/>
  <c r="AP14" i="32"/>
  <c r="AR14" i="32" s="1"/>
  <c r="Z19" i="32"/>
  <c r="AL18" i="32"/>
  <c r="AL38" i="32"/>
  <c r="AI39" i="32"/>
  <c r="P13" i="31"/>
  <c r="AO38" i="31"/>
  <c r="AL39" i="31"/>
  <c r="W13" i="31"/>
  <c r="AP13" i="31" s="1"/>
  <c r="AQ13" i="31" s="1"/>
  <c r="J14" i="31" s="1"/>
  <c r="N14" i="31"/>
  <c r="AT13" i="31"/>
  <c r="AV13" i="31" s="1"/>
  <c r="X13" i="31"/>
  <c r="AR13" i="31" s="1"/>
  <c r="K14" i="31" s="1"/>
  <c r="AC24" i="31"/>
  <c r="AO23" i="31"/>
  <c r="N14" i="30"/>
  <c r="V14" i="30" s="1"/>
  <c r="AN14" i="30" s="1"/>
  <c r="AO14" i="30" s="1"/>
  <c r="J15" i="30" s="1"/>
  <c r="AO15" i="30" s="1"/>
  <c r="J16" i="30" s="1"/>
  <c r="AA24" i="30"/>
  <c r="AM23" i="30"/>
  <c r="V15" i="30"/>
  <c r="AN15" i="30" s="1"/>
  <c r="AQ15" i="30"/>
  <c r="AS15" i="30" s="1"/>
  <c r="L16" i="30"/>
  <c r="AM37" i="30"/>
  <c r="AJ38" i="30"/>
  <c r="N14" i="29"/>
  <c r="U14" i="29" s="1"/>
  <c r="AN14" i="29" s="1"/>
  <c r="AO14" i="29" s="1"/>
  <c r="J15" i="29" s="1"/>
  <c r="AO15" i="29" s="1"/>
  <c r="J16" i="29" s="1"/>
  <c r="AM37" i="29"/>
  <c r="AI38" i="29"/>
  <c r="Z19" i="29"/>
  <c r="AM18" i="29"/>
  <c r="AQ17" i="29"/>
  <c r="AS17" i="29" s="1"/>
  <c r="L18" i="29"/>
  <c r="N14" i="28"/>
  <c r="U14" i="28" s="1"/>
  <c r="AM14" i="28" s="1"/>
  <c r="AN14" i="28" s="1"/>
  <c r="J15" i="28" s="1"/>
  <c r="Z24" i="28"/>
  <c r="AL23" i="28"/>
  <c r="L15" i="28"/>
  <c r="AP14" i="28"/>
  <c r="AR14" i="28" s="1"/>
  <c r="AL37" i="28"/>
  <c r="AI38" i="28"/>
  <c r="N13" i="27"/>
  <c r="U13" i="27" s="1"/>
  <c r="AM13" i="27" s="1"/>
  <c r="AN13" i="27" s="1"/>
  <c r="J14" i="27" s="1"/>
  <c r="AL37" i="27"/>
  <c r="AI38" i="27"/>
  <c r="AP14" i="27"/>
  <c r="AR14" i="27" s="1"/>
  <c r="L15" i="27"/>
  <c r="Z24" i="27"/>
  <c r="AL23" i="27"/>
  <c r="AL39" i="32" l="1"/>
  <c r="AI40" i="32"/>
  <c r="Z20" i="32"/>
  <c r="AL19" i="32"/>
  <c r="AP15" i="32"/>
  <c r="AR15" i="32" s="1"/>
  <c r="L16" i="32"/>
  <c r="U15" i="32"/>
  <c r="AM15" i="32" s="1"/>
  <c r="AN15" i="32" s="1"/>
  <c r="J16" i="32" s="1"/>
  <c r="P14" i="31"/>
  <c r="N15" i="31"/>
  <c r="AT14" i="31"/>
  <c r="AV14" i="31" s="1"/>
  <c r="X14" i="31"/>
  <c r="AR14" i="31" s="1"/>
  <c r="K15" i="31" s="1"/>
  <c r="W14" i="31"/>
  <c r="AP14" i="31" s="1"/>
  <c r="AQ14" i="31" s="1"/>
  <c r="J15" i="31" s="1"/>
  <c r="AL40" i="31"/>
  <c r="AO39" i="31"/>
  <c r="AC25" i="31"/>
  <c r="AO24" i="31"/>
  <c r="N16" i="30"/>
  <c r="L17" i="30"/>
  <c r="V16" i="30"/>
  <c r="AN16" i="30" s="1"/>
  <c r="AO16" i="30" s="1"/>
  <c r="J17" i="30" s="1"/>
  <c r="AQ16" i="30"/>
  <c r="AS16" i="30" s="1"/>
  <c r="AM38" i="30"/>
  <c r="AJ39" i="30"/>
  <c r="AA25" i="30"/>
  <c r="AM24" i="30"/>
  <c r="N16" i="29"/>
  <c r="U16" i="29" s="1"/>
  <c r="AN16" i="29" s="1"/>
  <c r="AO16" i="29" s="1"/>
  <c r="J17" i="29" s="1"/>
  <c r="Z20" i="29"/>
  <c r="AM19" i="29"/>
  <c r="AM38" i="29"/>
  <c r="AI39" i="29"/>
  <c r="AQ18" i="29"/>
  <c r="AS18" i="29" s="1"/>
  <c r="L19" i="29"/>
  <c r="U15" i="28"/>
  <c r="AM15" i="28" s="1"/>
  <c r="AN15" i="28" s="1"/>
  <c r="J16" i="28" s="1"/>
  <c r="L16" i="28"/>
  <c r="AP15" i="28"/>
  <c r="AR15" i="28" s="1"/>
  <c r="AL38" i="28"/>
  <c r="AI39" i="28"/>
  <c r="Z25" i="28"/>
  <c r="AL24" i="28"/>
  <c r="N14" i="27"/>
  <c r="U14" i="27" s="1"/>
  <c r="AM14" i="27" s="1"/>
  <c r="AN14" i="27" s="1"/>
  <c r="J15" i="27" s="1"/>
  <c r="Z25" i="27"/>
  <c r="AL24" i="27"/>
  <c r="AL38" i="27"/>
  <c r="AI39" i="27"/>
  <c r="L16" i="27"/>
  <c r="U15" i="27"/>
  <c r="AM15" i="27" s="1"/>
  <c r="AP15" i="27"/>
  <c r="AR15" i="27" s="1"/>
  <c r="AN15" i="27" l="1"/>
  <c r="J16" i="27" s="1"/>
  <c r="N16" i="32"/>
  <c r="U16" i="32"/>
  <c r="AM16" i="32" s="1"/>
  <c r="AN16" i="32" s="1"/>
  <c r="J17" i="32" s="1"/>
  <c r="AP16" i="32"/>
  <c r="AR16" i="32" s="1"/>
  <c r="L17" i="32"/>
  <c r="Z21" i="32"/>
  <c r="AL20" i="32"/>
  <c r="AL40" i="32"/>
  <c r="AI41" i="32"/>
  <c r="AC26" i="31"/>
  <c r="AO25" i="31"/>
  <c r="AL41" i="31"/>
  <c r="AO40" i="31"/>
  <c r="AT15" i="31"/>
  <c r="AV15" i="31" s="1"/>
  <c r="N16" i="31"/>
  <c r="X15" i="31"/>
  <c r="AR15" i="31" s="1"/>
  <c r="K16" i="31" s="1"/>
  <c r="W15" i="31"/>
  <c r="AP15" i="31" s="1"/>
  <c r="AQ15" i="31" s="1"/>
  <c r="J16" i="31" s="1"/>
  <c r="N17" i="30"/>
  <c r="AA26" i="30"/>
  <c r="AM25" i="30"/>
  <c r="AM39" i="30"/>
  <c r="AJ40" i="30"/>
  <c r="L18" i="30"/>
  <c r="V17" i="30"/>
  <c r="AN17" i="30" s="1"/>
  <c r="AO17" i="30" s="1"/>
  <c r="J18" i="30" s="1"/>
  <c r="AQ17" i="30"/>
  <c r="AS17" i="30" s="1"/>
  <c r="N17" i="29"/>
  <c r="U17" i="29" s="1"/>
  <c r="AN17" i="29" s="1"/>
  <c r="AO17" i="29" s="1"/>
  <c r="J18" i="29" s="1"/>
  <c r="AQ19" i="29"/>
  <c r="AS19" i="29" s="1"/>
  <c r="L20" i="29"/>
  <c r="AM39" i="29"/>
  <c r="AI40" i="29"/>
  <c r="Z21" i="29"/>
  <c r="AM20" i="29"/>
  <c r="N16" i="28"/>
  <c r="U16" i="28" s="1"/>
  <c r="AM16" i="28" s="1"/>
  <c r="AN16" i="28" s="1"/>
  <c r="J17" i="28" s="1"/>
  <c r="Z26" i="28"/>
  <c r="AL25" i="28"/>
  <c r="AL39" i="28"/>
  <c r="AI40" i="28"/>
  <c r="L17" i="28"/>
  <c r="AP16" i="28"/>
  <c r="AR16" i="28" s="1"/>
  <c r="N16" i="27"/>
  <c r="L17" i="27"/>
  <c r="U16" i="27"/>
  <c r="AM16" i="27" s="1"/>
  <c r="AN16" i="27" s="1"/>
  <c r="J17" i="27" s="1"/>
  <c r="AP16" i="27"/>
  <c r="AR16" i="27" s="1"/>
  <c r="AL39" i="27"/>
  <c r="AI40" i="27"/>
  <c r="Z26" i="27"/>
  <c r="AL25" i="27"/>
  <c r="N17" i="32" l="1"/>
  <c r="AL41" i="32"/>
  <c r="AI42" i="32"/>
  <c r="AL21" i="32"/>
  <c r="Z22" i="32"/>
  <c r="L18" i="32"/>
  <c r="U17" i="32"/>
  <c r="AM17" i="32" s="1"/>
  <c r="AN17" i="32" s="1"/>
  <c r="J18" i="32" s="1"/>
  <c r="AP17" i="32"/>
  <c r="AR17" i="32" s="1"/>
  <c r="P16" i="31"/>
  <c r="AT16" i="31"/>
  <c r="AV16" i="31" s="1"/>
  <c r="X16" i="31"/>
  <c r="AR16" i="31" s="1"/>
  <c r="K17" i="31" s="1"/>
  <c r="W16" i="31"/>
  <c r="AP16" i="31" s="1"/>
  <c r="AQ16" i="31" s="1"/>
  <c r="J17" i="31" s="1"/>
  <c r="N17" i="31"/>
  <c r="AL42" i="31"/>
  <c r="AO41" i="31"/>
  <c r="AC27" i="31"/>
  <c r="AO27" i="31" s="1"/>
  <c r="AO26" i="31"/>
  <c r="N18" i="30"/>
  <c r="AQ18" i="30"/>
  <c r="AS18" i="30" s="1"/>
  <c r="L19" i="30"/>
  <c r="V18" i="30"/>
  <c r="AN18" i="30" s="1"/>
  <c r="AO18" i="30" s="1"/>
  <c r="J19" i="30" s="1"/>
  <c r="AM40" i="30"/>
  <c r="AJ41" i="30"/>
  <c r="AA27" i="30"/>
  <c r="AM27" i="30" s="1"/>
  <c r="AM26" i="30"/>
  <c r="N18" i="29"/>
  <c r="U18" i="29" s="1"/>
  <c r="AN18" i="29" s="1"/>
  <c r="AO18" i="29" s="1"/>
  <c r="J19" i="29" s="1"/>
  <c r="L21" i="29"/>
  <c r="AQ20" i="29"/>
  <c r="AS20" i="29" s="1"/>
  <c r="AM21" i="29"/>
  <c r="Z22" i="29"/>
  <c r="AM40" i="29"/>
  <c r="AI41" i="29"/>
  <c r="N17" i="28"/>
  <c r="AP17" i="28"/>
  <c r="AR17" i="28" s="1"/>
  <c r="L18" i="28"/>
  <c r="U17" i="28"/>
  <c r="AM17" i="28" s="1"/>
  <c r="AN17" i="28" s="1"/>
  <c r="J18" i="28" s="1"/>
  <c r="AL40" i="28"/>
  <c r="AI41" i="28"/>
  <c r="Z27" i="28"/>
  <c r="AL27" i="28" s="1"/>
  <c r="AL26" i="28"/>
  <c r="N17" i="27"/>
  <c r="AL40" i="27"/>
  <c r="AI41" i="27"/>
  <c r="Z27" i="27"/>
  <c r="AL27" i="27" s="1"/>
  <c r="AL26" i="27"/>
  <c r="AP17" i="27"/>
  <c r="AR17" i="27" s="1"/>
  <c r="L18" i="27"/>
  <c r="U17" i="27"/>
  <c r="AM17" i="27" s="1"/>
  <c r="AN17" i="27" s="1"/>
  <c r="J18" i="27" s="1"/>
  <c r="N18" i="32" l="1"/>
  <c r="L19" i="32"/>
  <c r="U18" i="32"/>
  <c r="AM18" i="32" s="1"/>
  <c r="AN18" i="32" s="1"/>
  <c r="J19" i="32" s="1"/>
  <c r="AP18" i="32"/>
  <c r="AR18" i="32" s="1"/>
  <c r="Z23" i="32"/>
  <c r="AL22" i="32"/>
  <c r="AL42" i="32"/>
  <c r="AI43" i="32"/>
  <c r="P17" i="31"/>
  <c r="AT17" i="31"/>
  <c r="AV17" i="31" s="1"/>
  <c r="X17" i="31"/>
  <c r="AR17" i="31" s="1"/>
  <c r="K18" i="31" s="1"/>
  <c r="W17" i="31"/>
  <c r="AP17" i="31" s="1"/>
  <c r="AQ17" i="31" s="1"/>
  <c r="J18" i="31" s="1"/>
  <c r="N18" i="31"/>
  <c r="AO42" i="31"/>
  <c r="AL43" i="31"/>
  <c r="N19" i="30"/>
  <c r="AM41" i="30"/>
  <c r="AJ42" i="30"/>
  <c r="V19" i="30"/>
  <c r="AN19" i="30" s="1"/>
  <c r="AO19" i="30" s="1"/>
  <c r="J20" i="30" s="1"/>
  <c r="AQ19" i="30"/>
  <c r="AS19" i="30" s="1"/>
  <c r="L20" i="30"/>
  <c r="N19" i="29"/>
  <c r="U19" i="29" s="1"/>
  <c r="AN19" i="29" s="1"/>
  <c r="AO19" i="29" s="1"/>
  <c r="J20" i="29" s="1"/>
  <c r="L22" i="29"/>
  <c r="AQ21" i="29"/>
  <c r="AS21" i="29" s="1"/>
  <c r="AM41" i="29"/>
  <c r="AI42" i="29"/>
  <c r="Z23" i="29"/>
  <c r="AM22" i="29"/>
  <c r="N18" i="28"/>
  <c r="U18" i="28"/>
  <c r="AM18" i="28" s="1"/>
  <c r="AN18" i="28" s="1"/>
  <c r="J19" i="28" s="1"/>
  <c r="AP18" i="28"/>
  <c r="AR18" i="28" s="1"/>
  <c r="L19" i="28"/>
  <c r="AL41" i="28"/>
  <c r="AI42" i="28"/>
  <c r="N18" i="27"/>
  <c r="U18" i="27" s="1"/>
  <c r="AM18" i="27" s="1"/>
  <c r="AN18" i="27" s="1"/>
  <c r="J19" i="27" s="1"/>
  <c r="AL41" i="27"/>
  <c r="AI42" i="27"/>
  <c r="AP18" i="27"/>
  <c r="AR18" i="27" s="1"/>
  <c r="L19" i="27"/>
  <c r="N19" i="32" l="1"/>
  <c r="U19" i="32"/>
  <c r="AM19" i="32" s="1"/>
  <c r="AN19" i="32" s="1"/>
  <c r="J20" i="32" s="1"/>
  <c r="AP19" i="32"/>
  <c r="AR19" i="32" s="1"/>
  <c r="L20" i="32"/>
  <c r="AL43" i="32"/>
  <c r="AI44" i="32"/>
  <c r="Z24" i="32"/>
  <c r="AL23" i="32"/>
  <c r="P18" i="31"/>
  <c r="W18" i="31" s="1"/>
  <c r="AP18" i="31" s="1"/>
  <c r="AQ18" i="31" s="1"/>
  <c r="J19" i="31" s="1"/>
  <c r="AL44" i="31"/>
  <c r="AO43" i="31"/>
  <c r="AT18" i="31"/>
  <c r="AV18" i="31" s="1"/>
  <c r="X18" i="31"/>
  <c r="AR18" i="31" s="1"/>
  <c r="K19" i="31" s="1"/>
  <c r="N19" i="31"/>
  <c r="N20" i="30"/>
  <c r="AM42" i="30"/>
  <c r="AJ43" i="30"/>
  <c r="V20" i="30"/>
  <c r="AN20" i="30" s="1"/>
  <c r="AO20" i="30" s="1"/>
  <c r="J21" i="30" s="1"/>
  <c r="AQ20" i="30"/>
  <c r="AS20" i="30" s="1"/>
  <c r="L21" i="30"/>
  <c r="N20" i="29"/>
  <c r="U20" i="29" s="1"/>
  <c r="AN20" i="29" s="1"/>
  <c r="AO20" i="29" s="1"/>
  <c r="J21" i="29" s="1"/>
  <c r="AQ22" i="29"/>
  <c r="AS22" i="29" s="1"/>
  <c r="L23" i="29"/>
  <c r="AM42" i="29"/>
  <c r="AI43" i="29"/>
  <c r="Z24" i="29"/>
  <c r="AM23" i="29"/>
  <c r="N19" i="28"/>
  <c r="U19" i="28" s="1"/>
  <c r="AM19" i="28" s="1"/>
  <c r="AN19" i="28" s="1"/>
  <c r="J20" i="28" s="1"/>
  <c r="AP19" i="28"/>
  <c r="AR19" i="28" s="1"/>
  <c r="L20" i="28"/>
  <c r="AL42" i="28"/>
  <c r="AI43" i="28"/>
  <c r="N19" i="27"/>
  <c r="U19" i="27" s="1"/>
  <c r="AM19" i="27" s="1"/>
  <c r="AN19" i="27" s="1"/>
  <c r="J20" i="27" s="1"/>
  <c r="L20" i="27"/>
  <c r="AP19" i="27"/>
  <c r="AR19" i="27" s="1"/>
  <c r="AL42" i="27"/>
  <c r="AI43" i="27"/>
  <c r="L21" i="32" l="1"/>
  <c r="AP20" i="32"/>
  <c r="AR20" i="32" s="1"/>
  <c r="AL44" i="32"/>
  <c r="AI45" i="32"/>
  <c r="N20" i="32"/>
  <c r="U20" i="32" s="1"/>
  <c r="AM20" i="32" s="1"/>
  <c r="AN20" i="32" s="1"/>
  <c r="J21" i="32" s="1"/>
  <c r="Z25" i="32"/>
  <c r="AL24" i="32"/>
  <c r="P19" i="31"/>
  <c r="AT19" i="31"/>
  <c r="AV19" i="31" s="1"/>
  <c r="X19" i="31"/>
  <c r="AR19" i="31" s="1"/>
  <c r="K20" i="31" s="1"/>
  <c r="W19" i="31"/>
  <c r="AP19" i="31" s="1"/>
  <c r="AQ19" i="31" s="1"/>
  <c r="J20" i="31" s="1"/>
  <c r="N20" i="31"/>
  <c r="AL45" i="31"/>
  <c r="AO44" i="31"/>
  <c r="N21" i="30"/>
  <c r="AM43" i="30"/>
  <c r="AJ44" i="30"/>
  <c r="L22" i="30"/>
  <c r="V21" i="30"/>
  <c r="AN21" i="30" s="1"/>
  <c r="AO21" i="30" s="1"/>
  <c r="J22" i="30" s="1"/>
  <c r="AQ21" i="30"/>
  <c r="AS21" i="30" s="1"/>
  <c r="N21" i="29"/>
  <c r="U21" i="29" s="1"/>
  <c r="AN21" i="29" s="1"/>
  <c r="AO21" i="29" s="1"/>
  <c r="J22" i="29" s="1"/>
  <c r="AQ23" i="29"/>
  <c r="AS23" i="29" s="1"/>
  <c r="L24" i="29"/>
  <c r="Z25" i="29"/>
  <c r="AM24" i="29"/>
  <c r="AM43" i="29"/>
  <c r="AI44" i="29"/>
  <c r="N20" i="28"/>
  <c r="AL43" i="28"/>
  <c r="AI44" i="28"/>
  <c r="L21" i="28"/>
  <c r="U20" i="28"/>
  <c r="AM20" i="28" s="1"/>
  <c r="AN20" i="28" s="1"/>
  <c r="J21" i="28" s="1"/>
  <c r="AP20" i="28"/>
  <c r="AR20" i="28" s="1"/>
  <c r="N20" i="27"/>
  <c r="U20" i="27" s="1"/>
  <c r="AM20" i="27" s="1"/>
  <c r="AN20" i="27" s="1"/>
  <c r="J21" i="27" s="1"/>
  <c r="L21" i="27"/>
  <c r="AP20" i="27"/>
  <c r="AR20" i="27" s="1"/>
  <c r="AL43" i="27"/>
  <c r="AI44" i="27"/>
  <c r="N21" i="32" l="1"/>
  <c r="AP21" i="32"/>
  <c r="AR21" i="32" s="1"/>
  <c r="L22" i="32"/>
  <c r="U21" i="32"/>
  <c r="AM21" i="32" s="1"/>
  <c r="AN21" i="32" s="1"/>
  <c r="J22" i="32" s="1"/>
  <c r="Z26" i="32"/>
  <c r="AL25" i="32"/>
  <c r="AL45" i="32"/>
  <c r="AI46" i="32"/>
  <c r="P20" i="31"/>
  <c r="W20" i="31" s="1"/>
  <c r="AP20" i="31" s="1"/>
  <c r="AQ20" i="31" s="1"/>
  <c r="J21" i="31" s="1"/>
  <c r="AL46" i="31"/>
  <c r="AO45" i="31"/>
  <c r="AT20" i="31"/>
  <c r="AV20" i="31" s="1"/>
  <c r="X20" i="31"/>
  <c r="AR20" i="31" s="1"/>
  <c r="K21" i="31" s="1"/>
  <c r="N21" i="31"/>
  <c r="N22" i="30"/>
  <c r="AM44" i="30"/>
  <c r="AJ45" i="30"/>
  <c r="L23" i="30"/>
  <c r="V22" i="30"/>
  <c r="AN22" i="30" s="1"/>
  <c r="AO22" i="30" s="1"/>
  <c r="J23" i="30" s="1"/>
  <c r="AQ22" i="30"/>
  <c r="AS22" i="30" s="1"/>
  <c r="N22" i="29"/>
  <c r="U22" i="29" s="1"/>
  <c r="AN22" i="29" s="1"/>
  <c r="AO22" i="29" s="1"/>
  <c r="J23" i="29" s="1"/>
  <c r="AI45" i="29"/>
  <c r="AM44" i="29"/>
  <c r="Z26" i="29"/>
  <c r="AM25" i="29"/>
  <c r="L25" i="29"/>
  <c r="AQ24" i="29"/>
  <c r="AS24" i="29" s="1"/>
  <c r="N21" i="28"/>
  <c r="AL44" i="28"/>
  <c r="AI45" i="28"/>
  <c r="AP21" i="28"/>
  <c r="AR21" i="28" s="1"/>
  <c r="L22" i="28"/>
  <c r="U21" i="28"/>
  <c r="AM21" i="28" s="1"/>
  <c r="AN21" i="28" s="1"/>
  <c r="J22" i="28" s="1"/>
  <c r="N21" i="27"/>
  <c r="U21" i="27" s="1"/>
  <c r="AM21" i="27" s="1"/>
  <c r="AN21" i="27" s="1"/>
  <c r="J22" i="27" s="1"/>
  <c r="AL44" i="27"/>
  <c r="AI45" i="27"/>
  <c r="AP21" i="27"/>
  <c r="AR21" i="27" s="1"/>
  <c r="L22" i="27"/>
  <c r="N22" i="32" l="1"/>
  <c r="U22" i="32"/>
  <c r="AM22" i="32" s="1"/>
  <c r="AN22" i="32" s="1"/>
  <c r="J23" i="32" s="1"/>
  <c r="AP22" i="32"/>
  <c r="AR22" i="32" s="1"/>
  <c r="L23" i="32"/>
  <c r="AL46" i="32"/>
  <c r="AI47" i="32"/>
  <c r="Z27" i="32"/>
  <c r="AL27" i="32" s="1"/>
  <c r="AL26" i="32"/>
  <c r="P21" i="31"/>
  <c r="W21" i="31" s="1"/>
  <c r="AP21" i="31" s="1"/>
  <c r="AQ21" i="31" s="1"/>
  <c r="J22" i="31" s="1"/>
  <c r="AO46" i="31"/>
  <c r="AL47" i="31"/>
  <c r="X21" i="31"/>
  <c r="AR21" i="31" s="1"/>
  <c r="K22" i="31" s="1"/>
  <c r="AT21" i="31"/>
  <c r="AV21" i="31" s="1"/>
  <c r="N22" i="31"/>
  <c r="N23" i="30"/>
  <c r="L24" i="30"/>
  <c r="AQ23" i="30"/>
  <c r="AS23" i="30" s="1"/>
  <c r="V23" i="30"/>
  <c r="AN23" i="30" s="1"/>
  <c r="AO23" i="30" s="1"/>
  <c r="J24" i="30" s="1"/>
  <c r="AM45" i="30"/>
  <c r="AJ46" i="30"/>
  <c r="N23" i="29"/>
  <c r="U23" i="29" s="1"/>
  <c r="AN23" i="29" s="1"/>
  <c r="AO23" i="29" s="1"/>
  <c r="J24" i="29" s="1"/>
  <c r="Z27" i="29"/>
  <c r="AM27" i="29" s="1"/>
  <c r="AM26" i="29"/>
  <c r="AI46" i="29"/>
  <c r="AM45" i="29"/>
  <c r="L26" i="29"/>
  <c r="AQ25" i="29"/>
  <c r="AS25" i="29" s="1"/>
  <c r="N22" i="28"/>
  <c r="U22" i="28"/>
  <c r="AM22" i="28" s="1"/>
  <c r="AN22" i="28" s="1"/>
  <c r="J23" i="28" s="1"/>
  <c r="AP22" i="28"/>
  <c r="AR22" i="28" s="1"/>
  <c r="L23" i="28"/>
  <c r="AL45" i="28"/>
  <c r="AI46" i="28"/>
  <c r="N22" i="27"/>
  <c r="U22" i="27" s="1"/>
  <c r="AM22" i="27" s="1"/>
  <c r="AN22" i="27" s="1"/>
  <c r="J23" i="27" s="1"/>
  <c r="AP22" i="27"/>
  <c r="AR22" i="27" s="1"/>
  <c r="L23" i="27"/>
  <c r="AL45" i="27"/>
  <c r="AI46" i="27"/>
  <c r="N23" i="32" l="1"/>
  <c r="L24" i="32"/>
  <c r="U23" i="32"/>
  <c r="AM23" i="32" s="1"/>
  <c r="AN23" i="32" s="1"/>
  <c r="J24" i="32" s="1"/>
  <c r="AP23" i="32"/>
  <c r="AR23" i="32" s="1"/>
  <c r="AL47" i="32"/>
  <c r="AI48" i="32"/>
  <c r="P22" i="31"/>
  <c r="AT22" i="31"/>
  <c r="AV22" i="31" s="1"/>
  <c r="X22" i="31"/>
  <c r="AR22" i="31" s="1"/>
  <c r="K23" i="31" s="1"/>
  <c r="W22" i="31"/>
  <c r="AP22" i="31" s="1"/>
  <c r="AQ22" i="31" s="1"/>
  <c r="J23" i="31" s="1"/>
  <c r="N23" i="31"/>
  <c r="AL48" i="31"/>
  <c r="AO47" i="31"/>
  <c r="N24" i="30"/>
  <c r="AM46" i="30"/>
  <c r="AJ47" i="30"/>
  <c r="V24" i="30"/>
  <c r="AN24" i="30" s="1"/>
  <c r="AO24" i="30" s="1"/>
  <c r="J25" i="30" s="1"/>
  <c r="AQ24" i="30"/>
  <c r="AS24" i="30" s="1"/>
  <c r="L25" i="30"/>
  <c r="N24" i="29"/>
  <c r="U24" i="29" s="1"/>
  <c r="AN24" i="29" s="1"/>
  <c r="AO24" i="29" s="1"/>
  <c r="J25" i="29" s="1"/>
  <c r="AQ26" i="29"/>
  <c r="AS26" i="29" s="1"/>
  <c r="L27" i="29"/>
  <c r="AM46" i="29"/>
  <c r="AI47" i="29"/>
  <c r="N23" i="28"/>
  <c r="L24" i="28"/>
  <c r="AP23" i="28"/>
  <c r="AR23" i="28" s="1"/>
  <c r="U23" i="28"/>
  <c r="AM23" i="28" s="1"/>
  <c r="AN23" i="28" s="1"/>
  <c r="J24" i="28" s="1"/>
  <c r="AL46" i="28"/>
  <c r="AI47" i="28"/>
  <c r="N23" i="27"/>
  <c r="U23" i="27" s="1"/>
  <c r="AM23" i="27" s="1"/>
  <c r="AN23" i="27" s="1"/>
  <c r="J24" i="27" s="1"/>
  <c r="AL46" i="27"/>
  <c r="AI47" i="27"/>
  <c r="L24" i="27"/>
  <c r="AP23" i="27"/>
  <c r="AR23" i="27" s="1"/>
  <c r="N24" i="32" l="1"/>
  <c r="AL48" i="32"/>
  <c r="AI49" i="32"/>
  <c r="L25" i="32"/>
  <c r="AP24" i="32"/>
  <c r="AR24" i="32" s="1"/>
  <c r="U24" i="32"/>
  <c r="AM24" i="32" s="1"/>
  <c r="AN24" i="32" s="1"/>
  <c r="J25" i="32" s="1"/>
  <c r="P23" i="31"/>
  <c r="AT23" i="31"/>
  <c r="AV23" i="31" s="1"/>
  <c r="X23" i="31"/>
  <c r="AR23" i="31" s="1"/>
  <c r="K24" i="31" s="1"/>
  <c r="W23" i="31"/>
  <c r="AP23" i="31" s="1"/>
  <c r="AQ23" i="31" s="1"/>
  <c r="J24" i="31" s="1"/>
  <c r="N24" i="31"/>
  <c r="AL49" i="31"/>
  <c r="AO48" i="31"/>
  <c r="N25" i="30"/>
  <c r="L26" i="30"/>
  <c r="V25" i="30"/>
  <c r="AN25" i="30" s="1"/>
  <c r="AO25" i="30" s="1"/>
  <c r="J26" i="30" s="1"/>
  <c r="AQ25" i="30"/>
  <c r="AS25" i="30" s="1"/>
  <c r="AM47" i="30"/>
  <c r="AJ48" i="30"/>
  <c r="AQ27" i="29"/>
  <c r="AS27" i="29" s="1"/>
  <c r="R28" i="29" s="1"/>
  <c r="R29" i="29" s="1"/>
  <c r="R30" i="29" s="1"/>
  <c r="R31" i="29" s="1"/>
  <c r="R32" i="29" s="1"/>
  <c r="R33" i="29" s="1"/>
  <c r="R34" i="29" s="1"/>
  <c r="R35" i="29" s="1"/>
  <c r="R36" i="29" s="1"/>
  <c r="R37" i="29" s="1"/>
  <c r="R38" i="29" s="1"/>
  <c r="R39" i="29" s="1"/>
  <c r="R40" i="29" s="1"/>
  <c r="R41" i="29" s="1"/>
  <c r="R42" i="29" s="1"/>
  <c r="R43" i="29" s="1"/>
  <c r="R44" i="29" s="1"/>
  <c r="R45" i="29" s="1"/>
  <c r="R46" i="29" s="1"/>
  <c r="R47" i="29" s="1"/>
  <c r="AI48" i="29"/>
  <c r="AM47" i="29"/>
  <c r="N25" i="29"/>
  <c r="U25" i="29" s="1"/>
  <c r="AN25" i="29" s="1"/>
  <c r="AO25" i="29" s="1"/>
  <c r="J26" i="29" s="1"/>
  <c r="N24" i="28"/>
  <c r="U24" i="28" s="1"/>
  <c r="AM24" i="28" s="1"/>
  <c r="AN24" i="28" s="1"/>
  <c r="J25" i="28" s="1"/>
  <c r="AP24" i="28"/>
  <c r="AR24" i="28" s="1"/>
  <c r="L25" i="28"/>
  <c r="AL47" i="28"/>
  <c r="AI48" i="28"/>
  <c r="N24" i="27"/>
  <c r="U24" i="27" s="1"/>
  <c r="AM24" i="27" s="1"/>
  <c r="AN24" i="27" s="1"/>
  <c r="J25" i="27" s="1"/>
  <c r="AP24" i="27"/>
  <c r="AR24" i="27" s="1"/>
  <c r="L25" i="27"/>
  <c r="AL47" i="27"/>
  <c r="AI48" i="27"/>
  <c r="N25" i="32" l="1"/>
  <c r="AL49" i="32"/>
  <c r="AI50" i="32"/>
  <c r="U25" i="32"/>
  <c r="AM25" i="32" s="1"/>
  <c r="AN25" i="32" s="1"/>
  <c r="J26" i="32" s="1"/>
  <c r="AP25" i="32"/>
  <c r="AR25" i="32" s="1"/>
  <c r="L26" i="32"/>
  <c r="P24" i="31"/>
  <c r="AL50" i="31"/>
  <c r="AO49" i="31"/>
  <c r="X24" i="31"/>
  <c r="AR24" i="31" s="1"/>
  <c r="K25" i="31" s="1"/>
  <c r="W24" i="31"/>
  <c r="AP24" i="31" s="1"/>
  <c r="AQ24" i="31" s="1"/>
  <c r="J25" i="31" s="1"/>
  <c r="AT24" i="31"/>
  <c r="AV24" i="31" s="1"/>
  <c r="N25" i="31"/>
  <c r="N26" i="30"/>
  <c r="L27" i="30"/>
  <c r="V26" i="30"/>
  <c r="AN26" i="30" s="1"/>
  <c r="AO26" i="30" s="1"/>
  <c r="J27" i="30" s="1"/>
  <c r="AQ26" i="30"/>
  <c r="AS26" i="30" s="1"/>
  <c r="AM48" i="30"/>
  <c r="AJ49" i="30"/>
  <c r="N26" i="29"/>
  <c r="U26" i="29" s="1"/>
  <c r="AN26" i="29" s="1"/>
  <c r="AO26" i="29" s="1"/>
  <c r="J27" i="29" s="1"/>
  <c r="AI49" i="29"/>
  <c r="AM48" i="29"/>
  <c r="N25" i="28"/>
  <c r="U25" i="28" s="1"/>
  <c r="AM25" i="28" s="1"/>
  <c r="AN25" i="28" s="1"/>
  <c r="J26" i="28" s="1"/>
  <c r="AL48" i="28"/>
  <c r="AI49" i="28"/>
  <c r="AP25" i="28"/>
  <c r="AR25" i="28" s="1"/>
  <c r="L26" i="28"/>
  <c r="N25" i="27"/>
  <c r="U25" i="27" s="1"/>
  <c r="AM25" i="27" s="1"/>
  <c r="AN25" i="27" s="1"/>
  <c r="J26" i="27" s="1"/>
  <c r="AL48" i="27"/>
  <c r="AI49" i="27"/>
  <c r="AP25" i="27"/>
  <c r="AR25" i="27" s="1"/>
  <c r="L26" i="27"/>
  <c r="N26" i="32" l="1"/>
  <c r="AL50" i="32"/>
  <c r="AI51" i="32"/>
  <c r="L27" i="32"/>
  <c r="U26" i="32"/>
  <c r="AM26" i="32" s="1"/>
  <c r="AN26" i="32" s="1"/>
  <c r="J27" i="32" s="1"/>
  <c r="AP26" i="32"/>
  <c r="AR26" i="32" s="1"/>
  <c r="P25" i="31"/>
  <c r="X25" i="31"/>
  <c r="AR25" i="31" s="1"/>
  <c r="K26" i="31" s="1"/>
  <c r="W25" i="31"/>
  <c r="AP25" i="31" s="1"/>
  <c r="AQ25" i="31" s="1"/>
  <c r="J26" i="31" s="1"/>
  <c r="AT25" i="31"/>
  <c r="AV25" i="31" s="1"/>
  <c r="N26" i="31"/>
  <c r="AL51" i="31"/>
  <c r="AO50" i="31"/>
  <c r="N27" i="30"/>
  <c r="AM49" i="30"/>
  <c r="AJ50" i="30"/>
  <c r="V27" i="30"/>
  <c r="AN27" i="30" s="1"/>
  <c r="AO27" i="30" s="1"/>
  <c r="J28" i="30" s="1"/>
  <c r="AQ27" i="30"/>
  <c r="AS27" i="30" s="1"/>
  <c r="S28" i="30" s="1"/>
  <c r="S29" i="30" s="1"/>
  <c r="S30" i="30" s="1"/>
  <c r="S31" i="30" s="1"/>
  <c r="S32" i="30" s="1"/>
  <c r="S33" i="30" s="1"/>
  <c r="S34" i="30" s="1"/>
  <c r="S35" i="30" s="1"/>
  <c r="S36" i="30" s="1"/>
  <c r="S37" i="30" s="1"/>
  <c r="S38" i="30" s="1"/>
  <c r="S39" i="30" s="1"/>
  <c r="S40" i="30" s="1"/>
  <c r="S41" i="30" s="1"/>
  <c r="S42" i="30" s="1"/>
  <c r="S43" i="30" s="1"/>
  <c r="S44" i="30" s="1"/>
  <c r="S45" i="30" s="1"/>
  <c r="S46" i="30" s="1"/>
  <c r="S47" i="30" s="1"/>
  <c r="N27" i="29"/>
  <c r="U27" i="29" s="1"/>
  <c r="AN27" i="29" s="1"/>
  <c r="AO27" i="29" s="1"/>
  <c r="J28" i="29" s="1"/>
  <c r="AI50" i="29"/>
  <c r="AM49" i="29"/>
  <c r="N26" i="28"/>
  <c r="U26" i="28" s="1"/>
  <c r="AM26" i="28" s="1"/>
  <c r="AN26" i="28" s="1"/>
  <c r="J27" i="28" s="1"/>
  <c r="L27" i="28"/>
  <c r="AP26" i="28"/>
  <c r="AR26" i="28" s="1"/>
  <c r="AL49" i="28"/>
  <c r="AI50" i="28"/>
  <c r="N26" i="27"/>
  <c r="U26" i="27" s="1"/>
  <c r="AM26" i="27" s="1"/>
  <c r="AN26" i="27" s="1"/>
  <c r="J27" i="27" s="1"/>
  <c r="L27" i="27"/>
  <c r="AP26" i="27"/>
  <c r="AR26" i="27" s="1"/>
  <c r="AL49" i="27"/>
  <c r="AI50" i="27"/>
  <c r="N27" i="32" l="1"/>
  <c r="AI52" i="32"/>
  <c r="AL51" i="32"/>
  <c r="AP27" i="32"/>
  <c r="AR27" i="32" s="1"/>
  <c r="R28" i="32" s="1"/>
  <c r="R29" i="32" s="1"/>
  <c r="R30" i="32" s="1"/>
  <c r="R31" i="32" s="1"/>
  <c r="R32" i="32" s="1"/>
  <c r="R33" i="32" s="1"/>
  <c r="R34" i="32" s="1"/>
  <c r="R35" i="32" s="1"/>
  <c r="R36" i="32" s="1"/>
  <c r="R37" i="32" s="1"/>
  <c r="R38" i="32" s="1"/>
  <c r="R39" i="32" s="1"/>
  <c r="R40" i="32" s="1"/>
  <c r="R41" i="32" s="1"/>
  <c r="R42" i="32" s="1"/>
  <c r="R43" i="32" s="1"/>
  <c r="R44" i="32" s="1"/>
  <c r="R45" i="32" s="1"/>
  <c r="R46" i="32" s="1"/>
  <c r="R47" i="32" s="1"/>
  <c r="U27" i="32"/>
  <c r="AM27" i="32" s="1"/>
  <c r="AN27" i="32" s="1"/>
  <c r="J28" i="32" s="1"/>
  <c r="P26" i="31"/>
  <c r="AO51" i="31"/>
  <c r="AL52" i="31"/>
  <c r="N27" i="31"/>
  <c r="X26" i="31"/>
  <c r="AR26" i="31" s="1"/>
  <c r="K27" i="31" s="1"/>
  <c r="W26" i="31"/>
  <c r="AP26" i="31" s="1"/>
  <c r="AQ26" i="31" s="1"/>
  <c r="J27" i="31" s="1"/>
  <c r="AT26" i="31"/>
  <c r="AV26" i="31" s="1"/>
  <c r="N28" i="30"/>
  <c r="V28" i="30" s="1"/>
  <c r="AN28" i="30" s="1"/>
  <c r="AO28" i="30" s="1"/>
  <c r="J29" i="30" s="1"/>
  <c r="AM50" i="30"/>
  <c r="AJ51" i="30"/>
  <c r="AI51" i="29"/>
  <c r="AM50" i="29"/>
  <c r="N28" i="29"/>
  <c r="U28" i="29" s="1"/>
  <c r="AN28" i="29" s="1"/>
  <c r="AO28" i="29" s="1"/>
  <c r="J29" i="29" s="1"/>
  <c r="N27" i="28"/>
  <c r="U27" i="28" s="1"/>
  <c r="AM27" i="28" s="1"/>
  <c r="AN27" i="28" s="1"/>
  <c r="J28" i="28" s="1"/>
  <c r="AP27" i="28"/>
  <c r="AR27" i="28" s="1"/>
  <c r="R28" i="28" s="1"/>
  <c r="R29" i="28" s="1"/>
  <c r="R30" i="28" s="1"/>
  <c r="R31" i="28" s="1"/>
  <c r="R32" i="28" s="1"/>
  <c r="R33" i="28" s="1"/>
  <c r="R34" i="28" s="1"/>
  <c r="R35" i="28" s="1"/>
  <c r="R36" i="28" s="1"/>
  <c r="R37" i="28" s="1"/>
  <c r="R38" i="28" s="1"/>
  <c r="R39" i="28" s="1"/>
  <c r="R40" i="28" s="1"/>
  <c r="R41" i="28" s="1"/>
  <c r="R42" i="28" s="1"/>
  <c r="R43" i="28" s="1"/>
  <c r="R44" i="28" s="1"/>
  <c r="R45" i="28" s="1"/>
  <c r="R46" i="28" s="1"/>
  <c r="R47" i="28" s="1"/>
  <c r="AI51" i="28"/>
  <c r="AL50" i="28"/>
  <c r="N27" i="27"/>
  <c r="U27" i="27" s="1"/>
  <c r="AM27" i="27" s="1"/>
  <c r="AN27" i="27" s="1"/>
  <c r="J28" i="27" s="1"/>
  <c r="AP27" i="27"/>
  <c r="AR27" i="27" s="1"/>
  <c r="R28" i="27" s="1"/>
  <c r="R29" i="27" s="1"/>
  <c r="R30" i="27" s="1"/>
  <c r="R31" i="27" s="1"/>
  <c r="R32" i="27" s="1"/>
  <c r="R33" i="27" s="1"/>
  <c r="R34" i="27" s="1"/>
  <c r="R35" i="27" s="1"/>
  <c r="R36" i="27" s="1"/>
  <c r="R37" i="27" s="1"/>
  <c r="R38" i="27" s="1"/>
  <c r="R39" i="27" s="1"/>
  <c r="R40" i="27" s="1"/>
  <c r="R41" i="27" s="1"/>
  <c r="R42" i="27" s="1"/>
  <c r="R43" i="27" s="1"/>
  <c r="R44" i="27" s="1"/>
  <c r="R45" i="27" s="1"/>
  <c r="R46" i="27" s="1"/>
  <c r="R47" i="27" s="1"/>
  <c r="AL50" i="27"/>
  <c r="AI51" i="27"/>
  <c r="N28" i="32" l="1"/>
  <c r="U28" i="32" s="1"/>
  <c r="AM28" i="32" s="1"/>
  <c r="AN28" i="32" s="1"/>
  <c r="J29" i="32" s="1"/>
  <c r="AL52" i="32"/>
  <c r="AI53" i="32"/>
  <c r="AL53" i="32" s="1"/>
  <c r="P27" i="31"/>
  <c r="AL53" i="31"/>
  <c r="AO53" i="31" s="1"/>
  <c r="AO52" i="31"/>
  <c r="X27" i="31"/>
  <c r="AR27" i="31" s="1"/>
  <c r="K28" i="31" s="1"/>
  <c r="W27" i="31"/>
  <c r="AP27" i="31" s="1"/>
  <c r="AQ27" i="31" s="1"/>
  <c r="J28" i="31" s="1"/>
  <c r="AT27" i="31"/>
  <c r="AV27" i="31" s="1"/>
  <c r="T28" i="31" s="1"/>
  <c r="T29" i="31" s="1"/>
  <c r="T30" i="31" s="1"/>
  <c r="T31" i="31" s="1"/>
  <c r="T32" i="31" s="1"/>
  <c r="T33" i="31" s="1"/>
  <c r="T34" i="31" s="1"/>
  <c r="T35" i="31" s="1"/>
  <c r="T36" i="31" s="1"/>
  <c r="T37" i="31" s="1"/>
  <c r="T38" i="31" s="1"/>
  <c r="T39" i="31" s="1"/>
  <c r="T40" i="31" s="1"/>
  <c r="T41" i="31" s="1"/>
  <c r="T42" i="31" s="1"/>
  <c r="T43" i="31" s="1"/>
  <c r="T44" i="31" s="1"/>
  <c r="T45" i="31" s="1"/>
  <c r="T46" i="31" s="1"/>
  <c r="T47" i="31" s="1"/>
  <c r="N29" i="30"/>
  <c r="V29" i="30" s="1"/>
  <c r="AN29" i="30" s="1"/>
  <c r="AO29" i="30" s="1"/>
  <c r="J30" i="30" s="1"/>
  <c r="AJ52" i="30"/>
  <c r="AM51" i="30"/>
  <c r="N29" i="29"/>
  <c r="U29" i="29" s="1"/>
  <c r="AN29" i="29" s="1"/>
  <c r="AO29" i="29" s="1"/>
  <c r="J30" i="29" s="1"/>
  <c r="AM51" i="29"/>
  <c r="AI52" i="29"/>
  <c r="N28" i="28"/>
  <c r="U28" i="28" s="1"/>
  <c r="AM28" i="28" s="1"/>
  <c r="AN28" i="28" s="1"/>
  <c r="J29" i="28" s="1"/>
  <c r="AI52" i="28"/>
  <c r="AL51" i="28"/>
  <c r="N28" i="27"/>
  <c r="U28" i="27" s="1"/>
  <c r="AM28" i="27" s="1"/>
  <c r="AN28" i="27" s="1"/>
  <c r="J29" i="27" s="1"/>
  <c r="AI52" i="27"/>
  <c r="AL51" i="27"/>
  <c r="N29" i="32" l="1"/>
  <c r="U29" i="32" s="1"/>
  <c r="AM29" i="32" s="1"/>
  <c r="AN29" i="32" s="1"/>
  <c r="J30" i="32" s="1"/>
  <c r="P28" i="31"/>
  <c r="W28" i="31" s="1"/>
  <c r="AP28" i="31" s="1"/>
  <c r="AQ28" i="31" s="1"/>
  <c r="J29" i="31" s="1"/>
  <c r="X28" i="31"/>
  <c r="AR28" i="31" s="1"/>
  <c r="K29" i="31" s="1"/>
  <c r="N30" i="30"/>
  <c r="V30" i="30" s="1"/>
  <c r="AN30" i="30" s="1"/>
  <c r="AO30" i="30" s="1"/>
  <c r="J31" i="30" s="1"/>
  <c r="AM52" i="30"/>
  <c r="AJ53" i="30"/>
  <c r="AM53" i="30" s="1"/>
  <c r="N30" i="29"/>
  <c r="U30" i="29" s="1"/>
  <c r="AN30" i="29" s="1"/>
  <c r="AO30" i="29" s="1"/>
  <c r="J31" i="29" s="1"/>
  <c r="AM52" i="29"/>
  <c r="AI53" i="29"/>
  <c r="AM53" i="29" s="1"/>
  <c r="N29" i="28"/>
  <c r="U29" i="28" s="1"/>
  <c r="AM29" i="28" s="1"/>
  <c r="AN29" i="28" s="1"/>
  <c r="J30" i="28" s="1"/>
  <c r="AL52" i="28"/>
  <c r="AI53" i="28"/>
  <c r="AL53" i="28" s="1"/>
  <c r="N29" i="27"/>
  <c r="U29" i="27" s="1"/>
  <c r="AM29" i="27" s="1"/>
  <c r="AN29" i="27" s="1"/>
  <c r="J30" i="27" s="1"/>
  <c r="AL52" i="27"/>
  <c r="AI53" i="27"/>
  <c r="AL53" i="27" s="1"/>
  <c r="N30" i="32" l="1"/>
  <c r="U30" i="32" s="1"/>
  <c r="AM30" i="32" s="1"/>
  <c r="AN30" i="32" s="1"/>
  <c r="J31" i="32" s="1"/>
  <c r="X29" i="31"/>
  <c r="AR29" i="31" s="1"/>
  <c r="K30" i="31" s="1"/>
  <c r="P29" i="31"/>
  <c r="W29" i="31" s="1"/>
  <c r="AP29" i="31" s="1"/>
  <c r="AQ29" i="31" s="1"/>
  <c r="J30" i="31" s="1"/>
  <c r="N31" i="30"/>
  <c r="V31" i="30" s="1"/>
  <c r="AN31" i="30" s="1"/>
  <c r="AO31" i="30" s="1"/>
  <c r="J32" i="30" s="1"/>
  <c r="N31" i="29"/>
  <c r="U31" i="29" s="1"/>
  <c r="AN31" i="29" s="1"/>
  <c r="AO31" i="29" s="1"/>
  <c r="J32" i="29" s="1"/>
  <c r="N30" i="28"/>
  <c r="U30" i="28" s="1"/>
  <c r="AM30" i="28" s="1"/>
  <c r="AN30" i="28" s="1"/>
  <c r="J31" i="28" s="1"/>
  <c r="N30" i="27"/>
  <c r="U30" i="27" s="1"/>
  <c r="AM30" i="27" s="1"/>
  <c r="AN30" i="27" s="1"/>
  <c r="J31" i="27" s="1"/>
  <c r="N31" i="32" l="1"/>
  <c r="U31" i="32" s="1"/>
  <c r="AM31" i="32" s="1"/>
  <c r="AN31" i="32" s="1"/>
  <c r="J32" i="32" s="1"/>
  <c r="P30" i="31"/>
  <c r="W30" i="31" s="1"/>
  <c r="AP30" i="31" s="1"/>
  <c r="AQ30" i="31" s="1"/>
  <c r="J31" i="31" s="1"/>
  <c r="X30" i="31"/>
  <c r="AR30" i="31" s="1"/>
  <c r="K31" i="31" s="1"/>
  <c r="N32" i="30"/>
  <c r="V32" i="30" s="1"/>
  <c r="AN32" i="30" s="1"/>
  <c r="AO32" i="30" s="1"/>
  <c r="J33" i="30" s="1"/>
  <c r="N32" i="29"/>
  <c r="U32" i="29" s="1"/>
  <c r="AN32" i="29" s="1"/>
  <c r="AO32" i="29" s="1"/>
  <c r="J33" i="29" s="1"/>
  <c r="N31" i="28"/>
  <c r="U31" i="28" s="1"/>
  <c r="AM31" i="28" s="1"/>
  <c r="AN31" i="28" s="1"/>
  <c r="J32" i="28" s="1"/>
  <c r="N31" i="27"/>
  <c r="U31" i="27" s="1"/>
  <c r="AM31" i="27" s="1"/>
  <c r="AN31" i="27" s="1"/>
  <c r="J32" i="27" s="1"/>
  <c r="N32" i="32" l="1"/>
  <c r="U32" i="32" s="1"/>
  <c r="AM32" i="32" s="1"/>
  <c r="AN32" i="32" s="1"/>
  <c r="J33" i="32" s="1"/>
  <c r="P31" i="31"/>
  <c r="W31" i="31" s="1"/>
  <c r="AP31" i="31" s="1"/>
  <c r="AQ31" i="31" s="1"/>
  <c r="J32" i="31" s="1"/>
  <c r="X31" i="31"/>
  <c r="AR31" i="31" s="1"/>
  <c r="K32" i="31" s="1"/>
  <c r="N33" i="30"/>
  <c r="V33" i="30" s="1"/>
  <c r="AN33" i="30" s="1"/>
  <c r="AO33" i="30" s="1"/>
  <c r="J34" i="30" s="1"/>
  <c r="N33" i="29"/>
  <c r="U33" i="29" s="1"/>
  <c r="AN33" i="29" s="1"/>
  <c r="AO33" i="29" s="1"/>
  <c r="J34" i="29" s="1"/>
  <c r="N32" i="28"/>
  <c r="U32" i="28" s="1"/>
  <c r="AM32" i="28" s="1"/>
  <c r="AN32" i="28" s="1"/>
  <c r="J33" i="28" s="1"/>
  <c r="N32" i="27"/>
  <c r="U32" i="27" s="1"/>
  <c r="AM32" i="27" s="1"/>
  <c r="AN32" i="27" s="1"/>
  <c r="J33" i="27" s="1"/>
  <c r="N33" i="32" l="1"/>
  <c r="U33" i="32" s="1"/>
  <c r="AM33" i="32" s="1"/>
  <c r="AN33" i="32" s="1"/>
  <c r="J34" i="32" s="1"/>
  <c r="X32" i="31"/>
  <c r="AR32" i="31" s="1"/>
  <c r="K33" i="31" s="1"/>
  <c r="P32" i="31"/>
  <c r="W32" i="31" s="1"/>
  <c r="AP32" i="31" s="1"/>
  <c r="AQ32" i="31" s="1"/>
  <c r="J33" i="31" s="1"/>
  <c r="N34" i="30"/>
  <c r="V34" i="30" s="1"/>
  <c r="AN34" i="30" s="1"/>
  <c r="AO34" i="30" s="1"/>
  <c r="J35" i="30" s="1"/>
  <c r="N34" i="29"/>
  <c r="U34" i="29" s="1"/>
  <c r="AN34" i="29" s="1"/>
  <c r="AO34" i="29" s="1"/>
  <c r="J35" i="29" s="1"/>
  <c r="N33" i="28"/>
  <c r="U33" i="28" s="1"/>
  <c r="AM33" i="28" s="1"/>
  <c r="AN33" i="28" s="1"/>
  <c r="J34" i="28" s="1"/>
  <c r="N33" i="27"/>
  <c r="U33" i="27" s="1"/>
  <c r="AM33" i="27" s="1"/>
  <c r="AN33" i="27" s="1"/>
  <c r="J34" i="27" s="1"/>
  <c r="N34" i="32" l="1"/>
  <c r="U34" i="32" s="1"/>
  <c r="AM34" i="32" s="1"/>
  <c r="AN34" i="32" s="1"/>
  <c r="J35" i="32" s="1"/>
  <c r="P33" i="31"/>
  <c r="W33" i="31" s="1"/>
  <c r="AP33" i="31" s="1"/>
  <c r="AQ33" i="31" s="1"/>
  <c r="J34" i="31" s="1"/>
  <c r="X33" i="31"/>
  <c r="AR33" i="31" s="1"/>
  <c r="K34" i="31" s="1"/>
  <c r="N35" i="30"/>
  <c r="V35" i="30" s="1"/>
  <c r="AN35" i="30" s="1"/>
  <c r="AO35" i="30" s="1"/>
  <c r="J36" i="30" s="1"/>
  <c r="N35" i="29"/>
  <c r="U35" i="29" s="1"/>
  <c r="AN35" i="29" s="1"/>
  <c r="AO35" i="29" s="1"/>
  <c r="J36" i="29" s="1"/>
  <c r="N34" i="28"/>
  <c r="U34" i="28" s="1"/>
  <c r="AM34" i="28" s="1"/>
  <c r="AN34" i="28" s="1"/>
  <c r="J35" i="28" s="1"/>
  <c r="N34" i="27"/>
  <c r="U34" i="27" s="1"/>
  <c r="AM34" i="27" s="1"/>
  <c r="AN34" i="27" s="1"/>
  <c r="J35" i="27" s="1"/>
  <c r="N35" i="32" l="1"/>
  <c r="U35" i="32" s="1"/>
  <c r="AM35" i="32" s="1"/>
  <c r="AN35" i="32" s="1"/>
  <c r="J36" i="32" s="1"/>
  <c r="X34" i="31"/>
  <c r="AR34" i="31" s="1"/>
  <c r="K35" i="31" s="1"/>
  <c r="P34" i="31"/>
  <c r="W34" i="31" s="1"/>
  <c r="AP34" i="31" s="1"/>
  <c r="AQ34" i="31" s="1"/>
  <c r="J35" i="31" s="1"/>
  <c r="N36" i="30"/>
  <c r="V36" i="30" s="1"/>
  <c r="AN36" i="30" s="1"/>
  <c r="AO36" i="30" s="1"/>
  <c r="J37" i="30" s="1"/>
  <c r="N36" i="29"/>
  <c r="U36" i="29" s="1"/>
  <c r="AN36" i="29" s="1"/>
  <c r="AO36" i="29" s="1"/>
  <c r="J37" i="29" s="1"/>
  <c r="N35" i="28"/>
  <c r="U35" i="28" s="1"/>
  <c r="AM35" i="28" s="1"/>
  <c r="AN35" i="28" s="1"/>
  <c r="J36" i="28" s="1"/>
  <c r="N35" i="27"/>
  <c r="U35" i="27" s="1"/>
  <c r="AM35" i="27" s="1"/>
  <c r="AN35" i="27" s="1"/>
  <c r="J36" i="27" s="1"/>
  <c r="N36" i="32" l="1"/>
  <c r="U36" i="32" s="1"/>
  <c r="AM36" i="32" s="1"/>
  <c r="AN36" i="32" s="1"/>
  <c r="J37" i="32" s="1"/>
  <c r="P35" i="31"/>
  <c r="W35" i="31" s="1"/>
  <c r="AP35" i="31" s="1"/>
  <c r="AQ35" i="31" s="1"/>
  <c r="J36" i="31" s="1"/>
  <c r="X35" i="31"/>
  <c r="AR35" i="31" s="1"/>
  <c r="K36" i="31" s="1"/>
  <c r="N37" i="30"/>
  <c r="V37" i="30" s="1"/>
  <c r="AN37" i="30" s="1"/>
  <c r="AO37" i="30" s="1"/>
  <c r="J38" i="30" s="1"/>
  <c r="N37" i="29"/>
  <c r="U37" i="29" s="1"/>
  <c r="AN37" i="29" s="1"/>
  <c r="AO37" i="29" s="1"/>
  <c r="J38" i="29" s="1"/>
  <c r="N36" i="28"/>
  <c r="U36" i="28" s="1"/>
  <c r="AM36" i="28" s="1"/>
  <c r="AN36" i="28" s="1"/>
  <c r="J37" i="28" s="1"/>
  <c r="N36" i="27"/>
  <c r="U36" i="27" s="1"/>
  <c r="AM36" i="27" s="1"/>
  <c r="AN36" i="27" s="1"/>
  <c r="J37" i="27" s="1"/>
  <c r="N37" i="32" l="1"/>
  <c r="U37" i="32" s="1"/>
  <c r="AM37" i="32" s="1"/>
  <c r="AN37" i="32" s="1"/>
  <c r="J38" i="32" s="1"/>
  <c r="X36" i="31"/>
  <c r="AR36" i="31" s="1"/>
  <c r="K37" i="31" s="1"/>
  <c r="P36" i="31"/>
  <c r="W36" i="31" s="1"/>
  <c r="AP36" i="31" s="1"/>
  <c r="AQ36" i="31" s="1"/>
  <c r="J37" i="31" s="1"/>
  <c r="N38" i="30"/>
  <c r="V38" i="30" s="1"/>
  <c r="AN38" i="30" s="1"/>
  <c r="AO38" i="30" s="1"/>
  <c r="J39" i="30" s="1"/>
  <c r="N38" i="29"/>
  <c r="U38" i="29" s="1"/>
  <c r="AN38" i="29" s="1"/>
  <c r="AO38" i="29" s="1"/>
  <c r="J39" i="29" s="1"/>
  <c r="N37" i="28"/>
  <c r="U37" i="28" s="1"/>
  <c r="AM37" i="28" s="1"/>
  <c r="AN37" i="28" s="1"/>
  <c r="J38" i="28" s="1"/>
  <c r="N37" i="27"/>
  <c r="U37" i="27" s="1"/>
  <c r="AM37" i="27" s="1"/>
  <c r="AN37" i="27" s="1"/>
  <c r="J38" i="27" s="1"/>
  <c r="N38" i="32" l="1"/>
  <c r="U38" i="32" s="1"/>
  <c r="AM38" i="32" s="1"/>
  <c r="AN38" i="32" s="1"/>
  <c r="J39" i="32" s="1"/>
  <c r="P37" i="31"/>
  <c r="W37" i="31" s="1"/>
  <c r="AP37" i="31" s="1"/>
  <c r="AQ37" i="31" s="1"/>
  <c r="J38" i="31" s="1"/>
  <c r="X37" i="31"/>
  <c r="AR37" i="31" s="1"/>
  <c r="K38" i="31" s="1"/>
  <c r="N39" i="30"/>
  <c r="V39" i="30" s="1"/>
  <c r="AN39" i="30" s="1"/>
  <c r="AO39" i="30" s="1"/>
  <c r="J40" i="30" s="1"/>
  <c r="N39" i="29"/>
  <c r="U39" i="29" s="1"/>
  <c r="AN39" i="29" s="1"/>
  <c r="AO39" i="29" s="1"/>
  <c r="J40" i="29" s="1"/>
  <c r="N38" i="28"/>
  <c r="U38" i="28" s="1"/>
  <c r="AM38" i="28" s="1"/>
  <c r="AN38" i="28" s="1"/>
  <c r="J39" i="28" s="1"/>
  <c r="N38" i="27"/>
  <c r="U38" i="27" s="1"/>
  <c r="AM38" i="27" s="1"/>
  <c r="AN38" i="27" s="1"/>
  <c r="J39" i="27" s="1"/>
  <c r="N39" i="32" l="1"/>
  <c r="U39" i="32" s="1"/>
  <c r="AM39" i="32" s="1"/>
  <c r="AN39" i="32" s="1"/>
  <c r="J40" i="32" s="1"/>
  <c r="X38" i="31"/>
  <c r="AR38" i="31" s="1"/>
  <c r="K39" i="31" s="1"/>
  <c r="P38" i="31"/>
  <c r="W38" i="31" s="1"/>
  <c r="AP38" i="31" s="1"/>
  <c r="AQ38" i="31" s="1"/>
  <c r="J39" i="31" s="1"/>
  <c r="N40" i="30"/>
  <c r="V40" i="30" s="1"/>
  <c r="AN40" i="30" s="1"/>
  <c r="AO40" i="30" s="1"/>
  <c r="J41" i="30" s="1"/>
  <c r="N40" i="29"/>
  <c r="U40" i="29" s="1"/>
  <c r="AN40" i="29" s="1"/>
  <c r="AO40" i="29" s="1"/>
  <c r="J41" i="29" s="1"/>
  <c r="N39" i="28"/>
  <c r="U39" i="28" s="1"/>
  <c r="AM39" i="28" s="1"/>
  <c r="AN39" i="28" s="1"/>
  <c r="J40" i="28" s="1"/>
  <c r="N39" i="27"/>
  <c r="U39" i="27" s="1"/>
  <c r="AM39" i="27" s="1"/>
  <c r="AN39" i="27" s="1"/>
  <c r="J40" i="27" s="1"/>
  <c r="N40" i="32" l="1"/>
  <c r="U40" i="32" s="1"/>
  <c r="AM40" i="32" s="1"/>
  <c r="AN40" i="32" s="1"/>
  <c r="J41" i="32" s="1"/>
  <c r="P39" i="31"/>
  <c r="W39" i="31" s="1"/>
  <c r="AP39" i="31" s="1"/>
  <c r="AQ39" i="31" s="1"/>
  <c r="J40" i="31" s="1"/>
  <c r="X39" i="31"/>
  <c r="AR39" i="31" s="1"/>
  <c r="K40" i="31" s="1"/>
  <c r="N41" i="30"/>
  <c r="V41" i="30" s="1"/>
  <c r="AN41" i="30" s="1"/>
  <c r="AO41" i="30" s="1"/>
  <c r="J42" i="30" s="1"/>
  <c r="N41" i="29"/>
  <c r="U41" i="29" s="1"/>
  <c r="AN41" i="29" s="1"/>
  <c r="AO41" i="29" s="1"/>
  <c r="J42" i="29" s="1"/>
  <c r="N40" i="28"/>
  <c r="U40" i="28" s="1"/>
  <c r="AM40" i="28" s="1"/>
  <c r="AN40" i="28" s="1"/>
  <c r="J41" i="28" s="1"/>
  <c r="N40" i="27"/>
  <c r="U40" i="27" s="1"/>
  <c r="AM40" i="27" s="1"/>
  <c r="AN40" i="27" s="1"/>
  <c r="J41" i="27" s="1"/>
  <c r="N41" i="32" l="1"/>
  <c r="U41" i="32" s="1"/>
  <c r="AM41" i="32" s="1"/>
  <c r="AN41" i="32" s="1"/>
  <c r="J42" i="32" s="1"/>
  <c r="X40" i="31"/>
  <c r="AR40" i="31" s="1"/>
  <c r="K41" i="31" s="1"/>
  <c r="P40" i="31"/>
  <c r="W40" i="31" s="1"/>
  <c r="AP40" i="31" s="1"/>
  <c r="AQ40" i="31" s="1"/>
  <c r="J41" i="31" s="1"/>
  <c r="N42" i="30"/>
  <c r="V42" i="30" s="1"/>
  <c r="AN42" i="30" s="1"/>
  <c r="AO42" i="30" s="1"/>
  <c r="J43" i="30" s="1"/>
  <c r="N42" i="29"/>
  <c r="U42" i="29" s="1"/>
  <c r="AN42" i="29" s="1"/>
  <c r="AO42" i="29" s="1"/>
  <c r="J43" i="29" s="1"/>
  <c r="N41" i="28"/>
  <c r="U41" i="28" s="1"/>
  <c r="AM41" i="28" s="1"/>
  <c r="AN41" i="28" s="1"/>
  <c r="J42" i="28" s="1"/>
  <c r="N41" i="27"/>
  <c r="U41" i="27" s="1"/>
  <c r="AM41" i="27" s="1"/>
  <c r="AN41" i="27" s="1"/>
  <c r="J42" i="27" s="1"/>
  <c r="N42" i="32" l="1"/>
  <c r="U42" i="32" s="1"/>
  <c r="AM42" i="32" s="1"/>
  <c r="AN42" i="32" s="1"/>
  <c r="J43" i="32" s="1"/>
  <c r="X41" i="31"/>
  <c r="AR41" i="31" s="1"/>
  <c r="K42" i="31" s="1"/>
  <c r="P41" i="31"/>
  <c r="W41" i="31" s="1"/>
  <c r="AP41" i="31" s="1"/>
  <c r="AQ41" i="31" s="1"/>
  <c r="J42" i="31" s="1"/>
  <c r="N43" i="30"/>
  <c r="V43" i="30" s="1"/>
  <c r="AN43" i="30" s="1"/>
  <c r="AO43" i="30" s="1"/>
  <c r="J44" i="30" s="1"/>
  <c r="N43" i="29"/>
  <c r="U43" i="29" s="1"/>
  <c r="AN43" i="29" s="1"/>
  <c r="AO43" i="29" s="1"/>
  <c r="J44" i="29" s="1"/>
  <c r="N42" i="28"/>
  <c r="U42" i="28" s="1"/>
  <c r="AM42" i="28" s="1"/>
  <c r="AN42" i="28" s="1"/>
  <c r="J43" i="28" s="1"/>
  <c r="N42" i="27"/>
  <c r="U42" i="27" s="1"/>
  <c r="AM42" i="27" s="1"/>
  <c r="AN42" i="27" s="1"/>
  <c r="J43" i="27" s="1"/>
  <c r="N43" i="32" l="1"/>
  <c r="U43" i="32" s="1"/>
  <c r="AM43" i="32" s="1"/>
  <c r="AN43" i="32" s="1"/>
  <c r="J44" i="32" s="1"/>
  <c r="P42" i="31"/>
  <c r="W42" i="31" s="1"/>
  <c r="AP42" i="31" s="1"/>
  <c r="AQ42" i="31" s="1"/>
  <c r="J43" i="31" s="1"/>
  <c r="X42" i="31"/>
  <c r="AR42" i="31" s="1"/>
  <c r="K43" i="31" s="1"/>
  <c r="N44" i="30"/>
  <c r="V44" i="30" s="1"/>
  <c r="AN44" i="30" s="1"/>
  <c r="AO44" i="30" s="1"/>
  <c r="J45" i="30" s="1"/>
  <c r="N44" i="29"/>
  <c r="U44" i="29" s="1"/>
  <c r="AN44" i="29" s="1"/>
  <c r="AO44" i="29" s="1"/>
  <c r="J45" i="29" s="1"/>
  <c r="N43" i="28"/>
  <c r="U43" i="28" s="1"/>
  <c r="AM43" i="28" s="1"/>
  <c r="AN43" i="28" s="1"/>
  <c r="J44" i="28" s="1"/>
  <c r="N43" i="27"/>
  <c r="U43" i="27" s="1"/>
  <c r="AM43" i="27" s="1"/>
  <c r="AN43" i="27" s="1"/>
  <c r="J44" i="27" s="1"/>
  <c r="N44" i="32" l="1"/>
  <c r="U44" i="32" s="1"/>
  <c r="AM44" i="32" s="1"/>
  <c r="AN44" i="32" s="1"/>
  <c r="J45" i="32" s="1"/>
  <c r="X43" i="31"/>
  <c r="AR43" i="31" s="1"/>
  <c r="K44" i="31" s="1"/>
  <c r="P43" i="31"/>
  <c r="W43" i="31" s="1"/>
  <c r="AP43" i="31" s="1"/>
  <c r="AQ43" i="31" s="1"/>
  <c r="J44" i="31" s="1"/>
  <c r="N45" i="30"/>
  <c r="V45" i="30" s="1"/>
  <c r="AN45" i="30" s="1"/>
  <c r="AO45" i="30" s="1"/>
  <c r="J46" i="30" s="1"/>
  <c r="N45" i="29"/>
  <c r="U45" i="29" s="1"/>
  <c r="AN45" i="29" s="1"/>
  <c r="AO45" i="29" s="1"/>
  <c r="J46" i="29" s="1"/>
  <c r="N44" i="28"/>
  <c r="U44" i="28" s="1"/>
  <c r="AM44" i="28" s="1"/>
  <c r="AN44" i="28" s="1"/>
  <c r="J45" i="28" s="1"/>
  <c r="N44" i="27"/>
  <c r="U44" i="27" s="1"/>
  <c r="AM44" i="27" s="1"/>
  <c r="AN44" i="27" s="1"/>
  <c r="J45" i="27" s="1"/>
  <c r="N45" i="32" l="1"/>
  <c r="U45" i="32" s="1"/>
  <c r="AM45" i="32" s="1"/>
  <c r="AN45" i="32" s="1"/>
  <c r="J46" i="32" s="1"/>
  <c r="P44" i="31"/>
  <c r="W44" i="31" s="1"/>
  <c r="AP44" i="31" s="1"/>
  <c r="AQ44" i="31" s="1"/>
  <c r="J45" i="31" s="1"/>
  <c r="X44" i="31"/>
  <c r="AR44" i="31" s="1"/>
  <c r="K45" i="31" s="1"/>
  <c r="N46" i="30"/>
  <c r="V46" i="30" s="1"/>
  <c r="AN46" i="30" s="1"/>
  <c r="AO46" i="30" s="1"/>
  <c r="J47" i="30" s="1"/>
  <c r="N46" i="29"/>
  <c r="U46" i="29" s="1"/>
  <c r="AN46" i="29" s="1"/>
  <c r="AO46" i="29" s="1"/>
  <c r="J47" i="29" s="1"/>
  <c r="N45" i="28"/>
  <c r="U45" i="28" s="1"/>
  <c r="AM45" i="28" s="1"/>
  <c r="AN45" i="28" s="1"/>
  <c r="J46" i="28" s="1"/>
  <c r="N45" i="27"/>
  <c r="U45" i="27" s="1"/>
  <c r="AM45" i="27" s="1"/>
  <c r="AN45" i="27" s="1"/>
  <c r="J46" i="27" s="1"/>
  <c r="N46" i="32" l="1"/>
  <c r="U46" i="32" s="1"/>
  <c r="AM46" i="32" s="1"/>
  <c r="AN46" i="32" s="1"/>
  <c r="J47" i="32" s="1"/>
  <c r="X45" i="31"/>
  <c r="AR45" i="31" s="1"/>
  <c r="K46" i="31" s="1"/>
  <c r="P45" i="31"/>
  <c r="W45" i="31" s="1"/>
  <c r="AP45" i="31" s="1"/>
  <c r="AQ45" i="31" s="1"/>
  <c r="J46" i="31" s="1"/>
  <c r="N47" i="30"/>
  <c r="V47" i="30" s="1"/>
  <c r="AN47" i="30" s="1"/>
  <c r="AO47" i="30" s="1"/>
  <c r="J48" i="30" s="1"/>
  <c r="N47" i="29"/>
  <c r="U47" i="29" s="1"/>
  <c r="AN47" i="29" s="1"/>
  <c r="AO47" i="29" s="1"/>
  <c r="J48" i="29" s="1"/>
  <c r="N46" i="28"/>
  <c r="U46" i="28" s="1"/>
  <c r="AM46" i="28" s="1"/>
  <c r="AN46" i="28" s="1"/>
  <c r="J47" i="28" s="1"/>
  <c r="N46" i="27"/>
  <c r="U46" i="27" s="1"/>
  <c r="AM46" i="27" s="1"/>
  <c r="AN46" i="27" s="1"/>
  <c r="J47" i="27" s="1"/>
  <c r="N47" i="32" l="1"/>
  <c r="U47" i="32" s="1"/>
  <c r="AM47" i="32" s="1"/>
  <c r="AN47" i="32" s="1"/>
  <c r="J48" i="32" s="1"/>
  <c r="P46" i="31"/>
  <c r="W46" i="31" s="1"/>
  <c r="AP46" i="31" s="1"/>
  <c r="AQ46" i="31" s="1"/>
  <c r="J47" i="31" s="1"/>
  <c r="X46" i="31"/>
  <c r="AR46" i="31" s="1"/>
  <c r="K47" i="31" s="1"/>
  <c r="N48" i="30"/>
  <c r="V48" i="30" s="1"/>
  <c r="AN48" i="30" s="1"/>
  <c r="AO48" i="30" s="1"/>
  <c r="J49" i="30" s="1"/>
  <c r="N48" i="29"/>
  <c r="U48" i="29" s="1"/>
  <c r="AN48" i="29" s="1"/>
  <c r="AO48" i="29" s="1"/>
  <c r="J49" i="29" s="1"/>
  <c r="N47" i="28"/>
  <c r="U47" i="28" s="1"/>
  <c r="AM47" i="28" s="1"/>
  <c r="AN47" i="28" s="1"/>
  <c r="J48" i="28" s="1"/>
  <c r="N47" i="27"/>
  <c r="U47" i="27" s="1"/>
  <c r="AM47" i="27" s="1"/>
  <c r="AN47" i="27" s="1"/>
  <c r="J48" i="27" s="1"/>
  <c r="N48" i="32" l="1"/>
  <c r="U48" i="32" s="1"/>
  <c r="AM48" i="32" s="1"/>
  <c r="AN48" i="32" s="1"/>
  <c r="J49" i="32" s="1"/>
  <c r="P47" i="31"/>
  <c r="W47" i="31" s="1"/>
  <c r="AP47" i="31" s="1"/>
  <c r="AQ47" i="31" s="1"/>
  <c r="J48" i="31" s="1"/>
  <c r="X47" i="31"/>
  <c r="AR47" i="31" s="1"/>
  <c r="K48" i="31" s="1"/>
  <c r="N49" i="30"/>
  <c r="V49" i="30" s="1"/>
  <c r="AN49" i="30" s="1"/>
  <c r="AO49" i="30" s="1"/>
  <c r="J50" i="30" s="1"/>
  <c r="N49" i="29"/>
  <c r="U49" i="29" s="1"/>
  <c r="AN49" i="29" s="1"/>
  <c r="AO49" i="29" s="1"/>
  <c r="J50" i="29" s="1"/>
  <c r="N48" i="28"/>
  <c r="U48" i="28" s="1"/>
  <c r="AM48" i="28" s="1"/>
  <c r="AN48" i="28" s="1"/>
  <c r="J49" i="28" s="1"/>
  <c r="N48" i="27"/>
  <c r="U48" i="27" s="1"/>
  <c r="AM48" i="27" s="1"/>
  <c r="AN48" i="27" s="1"/>
  <c r="J49" i="27" s="1"/>
  <c r="N49" i="32" l="1"/>
  <c r="U49" i="32" s="1"/>
  <c r="AM49" i="32" s="1"/>
  <c r="AN49" i="32"/>
  <c r="J50" i="32" s="1"/>
  <c r="X48" i="31"/>
  <c r="AR48" i="31" s="1"/>
  <c r="K49" i="31" s="1"/>
  <c r="P48" i="31"/>
  <c r="W48" i="31" s="1"/>
  <c r="AP48" i="31" s="1"/>
  <c r="AQ48" i="31" s="1"/>
  <c r="J49" i="31" s="1"/>
  <c r="N50" i="30"/>
  <c r="V50" i="30" s="1"/>
  <c r="AN50" i="30" s="1"/>
  <c r="AO50" i="30" s="1"/>
  <c r="J51" i="30" s="1"/>
  <c r="N50" i="29"/>
  <c r="U50" i="29" s="1"/>
  <c r="AN50" i="29" s="1"/>
  <c r="AO50" i="29" s="1"/>
  <c r="J51" i="29" s="1"/>
  <c r="N49" i="28"/>
  <c r="U49" i="28" s="1"/>
  <c r="AM49" i="28" s="1"/>
  <c r="AN49" i="28" s="1"/>
  <c r="J50" i="28" s="1"/>
  <c r="N49" i="27"/>
  <c r="U49" i="27" s="1"/>
  <c r="AM49" i="27" s="1"/>
  <c r="AN49" i="27" s="1"/>
  <c r="J50" i="27" s="1"/>
  <c r="N50" i="32" l="1"/>
  <c r="U50" i="32" s="1"/>
  <c r="AM50" i="32" s="1"/>
  <c r="AN50" i="32" s="1"/>
  <c r="J51" i="32" s="1"/>
  <c r="P49" i="31"/>
  <c r="W49" i="31" s="1"/>
  <c r="AP49" i="31" s="1"/>
  <c r="AQ49" i="31" s="1"/>
  <c r="J50" i="31" s="1"/>
  <c r="X49" i="31"/>
  <c r="AR49" i="31" s="1"/>
  <c r="K50" i="31" s="1"/>
  <c r="N51" i="30"/>
  <c r="V51" i="30" s="1"/>
  <c r="AN51" i="30" s="1"/>
  <c r="AO51" i="30" s="1"/>
  <c r="J52" i="30" s="1"/>
  <c r="N51" i="29"/>
  <c r="U51" i="29" s="1"/>
  <c r="AN51" i="29" s="1"/>
  <c r="AO51" i="29" s="1"/>
  <c r="J52" i="29" s="1"/>
  <c r="N50" i="28"/>
  <c r="U50" i="28" s="1"/>
  <c r="AM50" i="28" s="1"/>
  <c r="AN50" i="28" s="1"/>
  <c r="J51" i="28" s="1"/>
  <c r="N50" i="27"/>
  <c r="U50" i="27" s="1"/>
  <c r="AM50" i="27" s="1"/>
  <c r="AN50" i="27" s="1"/>
  <c r="J51" i="27" s="1"/>
  <c r="N51" i="32" l="1"/>
  <c r="U51" i="32" s="1"/>
  <c r="AM51" i="32" s="1"/>
  <c r="AN51" i="32" s="1"/>
  <c r="J52" i="32" s="1"/>
  <c r="X50" i="31"/>
  <c r="AR50" i="31" s="1"/>
  <c r="K51" i="31" s="1"/>
  <c r="P50" i="31"/>
  <c r="W50" i="31" s="1"/>
  <c r="AP50" i="31" s="1"/>
  <c r="AQ50" i="31" s="1"/>
  <c r="J51" i="31" s="1"/>
  <c r="N52" i="30"/>
  <c r="V52" i="30" s="1"/>
  <c r="AN52" i="30" s="1"/>
  <c r="AO52" i="30" s="1"/>
  <c r="J53" i="30" s="1"/>
  <c r="N52" i="29"/>
  <c r="U52" i="29" s="1"/>
  <c r="AN52" i="29" s="1"/>
  <c r="AO52" i="29" s="1"/>
  <c r="J53" i="29" s="1"/>
  <c r="N51" i="28"/>
  <c r="U51" i="28" s="1"/>
  <c r="AM51" i="28" s="1"/>
  <c r="AN51" i="28" s="1"/>
  <c r="J52" i="28" s="1"/>
  <c r="N51" i="27"/>
  <c r="U51" i="27" s="1"/>
  <c r="AM51" i="27" s="1"/>
  <c r="AN51" i="27" s="1"/>
  <c r="J52" i="27" s="1"/>
  <c r="N52" i="32" l="1"/>
  <c r="U52" i="32" s="1"/>
  <c r="AM52" i="32" s="1"/>
  <c r="AN52" i="32" s="1"/>
  <c r="J53" i="32" s="1"/>
  <c r="P51" i="31"/>
  <c r="W51" i="31" s="1"/>
  <c r="AP51" i="31" s="1"/>
  <c r="AQ51" i="31" s="1"/>
  <c r="J52" i="31" s="1"/>
  <c r="X51" i="31"/>
  <c r="AR51" i="31" s="1"/>
  <c r="K52" i="31" s="1"/>
  <c r="N53" i="30"/>
  <c r="V53" i="30" s="1"/>
  <c r="AN53" i="30" s="1"/>
  <c r="AO53" i="30" s="1"/>
  <c r="N53" i="29"/>
  <c r="U53" i="29" s="1"/>
  <c r="AN53" i="29" s="1"/>
  <c r="AO53" i="29" s="1"/>
  <c r="N52" i="28"/>
  <c r="U52" i="28" s="1"/>
  <c r="AM52" i="28" s="1"/>
  <c r="AN52" i="28" s="1"/>
  <c r="J53" i="28" s="1"/>
  <c r="N52" i="27"/>
  <c r="U52" i="27" s="1"/>
  <c r="AM52" i="27" s="1"/>
  <c r="AN52" i="27" s="1"/>
  <c r="J53" i="27" s="1"/>
  <c r="N53" i="32" l="1"/>
  <c r="U53" i="32" s="1"/>
  <c r="AM53" i="32" s="1"/>
  <c r="AN53" i="32" s="1"/>
  <c r="X52" i="31"/>
  <c r="AR52" i="31" s="1"/>
  <c r="K53" i="31" s="1"/>
  <c r="P52" i="31"/>
  <c r="W52" i="31" s="1"/>
  <c r="AP52" i="31" s="1"/>
  <c r="AQ52" i="31" s="1"/>
  <c r="J53" i="31" s="1"/>
  <c r="N53" i="28"/>
  <c r="U53" i="28" s="1"/>
  <c r="AM53" i="28" s="1"/>
  <c r="AN53" i="28" s="1"/>
  <c r="N53" i="27"/>
  <c r="U53" i="27" s="1"/>
  <c r="AM53" i="27" s="1"/>
  <c r="AN53" i="27" s="1"/>
  <c r="P53" i="31" l="1"/>
  <c r="W53" i="31" s="1"/>
  <c r="AP53" i="31" s="1"/>
  <c r="AQ53" i="31" s="1"/>
  <c r="X53" i="31"/>
  <c r="AR53" i="31" s="1"/>
  <c r="AJ14" i="23" l="1"/>
  <c r="AJ14" i="12"/>
  <c r="L4" i="10"/>
  <c r="G12" i="24"/>
  <c r="G11" i="24"/>
  <c r="G10" i="24"/>
  <c r="G9" i="24"/>
  <c r="L8" i="24"/>
  <c r="G8" i="24"/>
  <c r="G7" i="24"/>
  <c r="G6" i="24"/>
  <c r="L5" i="24"/>
  <c r="G5" i="24"/>
  <c r="G4" i="24"/>
  <c r="K3" i="24"/>
  <c r="K4" i="24" s="1"/>
  <c r="H3" i="24"/>
  <c r="H4" i="24" s="1"/>
  <c r="G3" i="24"/>
  <c r="F3" i="24"/>
  <c r="I3" i="24" s="1"/>
  <c r="J3" i="24" s="1"/>
  <c r="M2" i="24"/>
  <c r="N2" i="24" s="1"/>
  <c r="J2" i="24"/>
  <c r="K5" i="24" l="1"/>
  <c r="M4" i="24"/>
  <c r="N3" i="24"/>
  <c r="H5" i="24"/>
  <c r="M3" i="24"/>
  <c r="O3" i="24"/>
  <c r="F4" i="24" s="1"/>
  <c r="H6" i="24" l="1"/>
  <c r="I4" i="24"/>
  <c r="J4" i="24" s="1"/>
  <c r="N4" i="24" s="1"/>
  <c r="O4" i="24"/>
  <c r="F5" i="24" s="1"/>
  <c r="K6" i="24"/>
  <c r="M5" i="24"/>
  <c r="I5" i="24" l="1"/>
  <c r="J5" i="24" s="1"/>
  <c r="N5" i="24" s="1"/>
  <c r="O5" i="24" s="1"/>
  <c r="F6" i="24" s="1"/>
  <c r="K7" i="24"/>
  <c r="M6" i="24"/>
  <c r="H7" i="24"/>
  <c r="I6" i="24" l="1"/>
  <c r="J6" i="24" s="1"/>
  <c r="N6" i="24" s="1"/>
  <c r="O6" i="24"/>
  <c r="F7" i="24" s="1"/>
  <c r="K8" i="24"/>
  <c r="M7" i="24"/>
  <c r="H8" i="24"/>
  <c r="K9" i="24" l="1"/>
  <c r="M8" i="24"/>
  <c r="H9" i="24"/>
  <c r="I7" i="24"/>
  <c r="J7" i="24" s="1"/>
  <c r="N7" i="24" s="1"/>
  <c r="O7" i="24"/>
  <c r="F8" i="24" s="1"/>
  <c r="H10" i="24" l="1"/>
  <c r="I8" i="24"/>
  <c r="J8" i="24" s="1"/>
  <c r="N8" i="24" s="1"/>
  <c r="O8" i="24" s="1"/>
  <c r="F9" i="24" s="1"/>
  <c r="K10" i="24"/>
  <c r="M9" i="24"/>
  <c r="I9" i="24" l="1"/>
  <c r="J9" i="24" s="1"/>
  <c r="N9" i="24" s="1"/>
  <c r="O9" i="24"/>
  <c r="F10" i="24" s="1"/>
  <c r="K11" i="24"/>
  <c r="M10" i="24"/>
  <c r="H11" i="24"/>
  <c r="I10" i="24" l="1"/>
  <c r="J10" i="24" s="1"/>
  <c r="N10" i="24" s="1"/>
  <c r="O10" i="24"/>
  <c r="F11" i="24" s="1"/>
  <c r="M11" i="24"/>
  <c r="K12" i="24"/>
  <c r="M12" i="24" s="1"/>
  <c r="H12" i="24"/>
  <c r="I11" i="24" l="1"/>
  <c r="J11" i="24" s="1"/>
  <c r="N11" i="24" s="1"/>
  <c r="O11" i="24" s="1"/>
  <c r="F12" i="24" s="1"/>
  <c r="O12" i="24" l="1"/>
  <c r="I12" i="24"/>
  <c r="J12" i="24" s="1"/>
  <c r="N12" i="24" s="1"/>
  <c r="D3" i="8" l="1"/>
  <c r="Z4" i="23" l="1"/>
  <c r="AG23" i="23"/>
  <c r="Y23" i="23"/>
  <c r="Y24" i="23" s="1"/>
  <c r="Y25" i="23" s="1"/>
  <c r="Y26" i="23" s="1"/>
  <c r="AG22" i="23"/>
  <c r="Y22" i="23"/>
  <c r="W22" i="23"/>
  <c r="W23" i="23" s="1"/>
  <c r="W24" i="23" s="1"/>
  <c r="W25" i="23" s="1"/>
  <c r="W26" i="23" s="1"/>
  <c r="AG21" i="23"/>
  <c r="AG20" i="23"/>
  <c r="AG19" i="23"/>
  <c r="AG18" i="23"/>
  <c r="AG17" i="23"/>
  <c r="AG16" i="23"/>
  <c r="Y16" i="23"/>
  <c r="Y17" i="23" s="1"/>
  <c r="Y18" i="23" s="1"/>
  <c r="Y19" i="23" s="1"/>
  <c r="Y20" i="23" s="1"/>
  <c r="W16" i="23"/>
  <c r="W17" i="23" s="1"/>
  <c r="W18" i="23" s="1"/>
  <c r="W19" i="23" s="1"/>
  <c r="W20" i="23" s="1"/>
  <c r="AG15" i="23"/>
  <c r="AG14" i="23"/>
  <c r="AG13" i="23"/>
  <c r="Y10" i="23"/>
  <c r="Y11" i="23" s="1"/>
  <c r="Y12" i="23" s="1"/>
  <c r="Y13" i="23" s="1"/>
  <c r="Y14" i="23" s="1"/>
  <c r="W10" i="23"/>
  <c r="W11" i="23" s="1"/>
  <c r="W12" i="23" s="1"/>
  <c r="W13" i="23" s="1"/>
  <c r="W14" i="23" s="1"/>
  <c r="Z5" i="23"/>
  <c r="Z6" i="23" s="1"/>
  <c r="Z7" i="23" s="1"/>
  <c r="Z8" i="23" s="1"/>
  <c r="Z9" i="23" s="1"/>
  <c r="Z10" i="23" s="1"/>
  <c r="Z11" i="23" s="1"/>
  <c r="Z12" i="23" s="1"/>
  <c r="Z13" i="23" s="1"/>
  <c r="Z14" i="23" s="1"/>
  <c r="Z15" i="23" s="1"/>
  <c r="Z16" i="23" s="1"/>
  <c r="Z17" i="23" s="1"/>
  <c r="Z18" i="23" s="1"/>
  <c r="Z19" i="23" s="1"/>
  <c r="Z20" i="23" s="1"/>
  <c r="Z21" i="23" s="1"/>
  <c r="Z22" i="23" s="1"/>
  <c r="Z23" i="23" s="1"/>
  <c r="Z24" i="23" s="1"/>
  <c r="Z25" i="23" s="1"/>
  <c r="Z26" i="23" s="1"/>
  <c r="Z27" i="23" s="1"/>
  <c r="AH4" i="23"/>
  <c r="AH5" i="23" s="1"/>
  <c r="AH6" i="23" s="1"/>
  <c r="AH7" i="23" s="1"/>
  <c r="AH8" i="23" s="1"/>
  <c r="AH9" i="23" s="1"/>
  <c r="AH10" i="23" s="1"/>
  <c r="AH11" i="23" s="1"/>
  <c r="AH12" i="23" s="1"/>
  <c r="AH13" i="23" s="1"/>
  <c r="AH14" i="23" s="1"/>
  <c r="AH15" i="23" s="1"/>
  <c r="AH16" i="23" s="1"/>
  <c r="AH17" i="23" s="1"/>
  <c r="AH18" i="23" s="1"/>
  <c r="AH19" i="23" s="1"/>
  <c r="AH20" i="23" s="1"/>
  <c r="AH21" i="23" s="1"/>
  <c r="AH22" i="23" s="1"/>
  <c r="AH23" i="23" s="1"/>
  <c r="AF4" i="23"/>
  <c r="AF5" i="23" s="1"/>
  <c r="AF6" i="23" s="1"/>
  <c r="AF7" i="23" s="1"/>
  <c r="AF8" i="23" s="1"/>
  <c r="AF9" i="23" s="1"/>
  <c r="AE4" i="23"/>
  <c r="AE5" i="23" s="1"/>
  <c r="AE6" i="23" s="1"/>
  <c r="AE7" i="23" s="1"/>
  <c r="AE8" i="23" s="1"/>
  <c r="AE9" i="23" s="1"/>
  <c r="AE10" i="23" s="1"/>
  <c r="AE11" i="23" s="1"/>
  <c r="AE12" i="23" s="1"/>
  <c r="AE13" i="23" s="1"/>
  <c r="AE14" i="23" s="1"/>
  <c r="AE15" i="23" s="1"/>
  <c r="AE16" i="23" s="1"/>
  <c r="AE17" i="23" s="1"/>
  <c r="AE18" i="23" s="1"/>
  <c r="AE19" i="23" s="1"/>
  <c r="AE20" i="23" s="1"/>
  <c r="AE21" i="23" s="1"/>
  <c r="AE22" i="23" s="1"/>
  <c r="AE23" i="23" s="1"/>
  <c r="AE24" i="23" s="1"/>
  <c r="AE25" i="23" s="1"/>
  <c r="AE26" i="23" s="1"/>
  <c r="AE27" i="23" s="1"/>
  <c r="AD4" i="23"/>
  <c r="AD5" i="23" s="1"/>
  <c r="AD6" i="23" s="1"/>
  <c r="AD7" i="23" s="1"/>
  <c r="AD8" i="23" s="1"/>
  <c r="AD9" i="23" s="1"/>
  <c r="AD10" i="23" s="1"/>
  <c r="AD11" i="23" s="1"/>
  <c r="AD12" i="23" s="1"/>
  <c r="AD13" i="23" s="1"/>
  <c r="AD14" i="23" s="1"/>
  <c r="AD15" i="23" s="1"/>
  <c r="AD16" i="23" s="1"/>
  <c r="AD17" i="23" s="1"/>
  <c r="AD18" i="23" s="1"/>
  <c r="AD19" i="23" s="1"/>
  <c r="AD20" i="23" s="1"/>
  <c r="AD21" i="23" s="1"/>
  <c r="AD22" i="23" s="1"/>
  <c r="AD23" i="23" s="1"/>
  <c r="AD24" i="23" s="1"/>
  <c r="AD25" i="23" s="1"/>
  <c r="AD26" i="23" s="1"/>
  <c r="AD27" i="23" s="1"/>
  <c r="Y4" i="23"/>
  <c r="Y5" i="23" s="1"/>
  <c r="Y6" i="23" s="1"/>
  <c r="Y7" i="23" s="1"/>
  <c r="Y8" i="23" s="1"/>
  <c r="W4" i="23"/>
  <c r="W5" i="23" s="1"/>
  <c r="W6" i="23" s="1"/>
  <c r="W7" i="23" s="1"/>
  <c r="W8" i="23" s="1"/>
  <c r="AJ13" i="23"/>
  <c r="AJ12" i="23"/>
  <c r="E4" i="8"/>
  <c r="AJ9" i="23" s="1"/>
  <c r="E5" i="8"/>
  <c r="AJ10" i="23" s="1"/>
  <c r="E6" i="8"/>
  <c r="AJ11" i="23" s="1"/>
  <c r="E8" i="8"/>
  <c r="E9" i="8"/>
  <c r="E10" i="8"/>
  <c r="E11" i="8"/>
  <c r="E13" i="8"/>
  <c r="E14" i="8"/>
  <c r="E16" i="8"/>
  <c r="AJ7" i="23" s="1"/>
  <c r="E17" i="8"/>
  <c r="E18" i="8"/>
  <c r="AI28" i="23" s="1"/>
  <c r="AI29" i="23" s="1"/>
  <c r="AI30" i="23" s="1"/>
  <c r="AI31" i="23" s="1"/>
  <c r="AI32" i="23" s="1"/>
  <c r="AI33" i="23" s="1"/>
  <c r="AI34" i="23" s="1"/>
  <c r="AI35" i="23" s="1"/>
  <c r="AI36" i="23" s="1"/>
  <c r="AI37" i="23" s="1"/>
  <c r="AI38" i="23" s="1"/>
  <c r="AI39" i="23" s="1"/>
  <c r="AI40" i="23" s="1"/>
  <c r="AI41" i="23" s="1"/>
  <c r="AI42" i="23" s="1"/>
  <c r="AI43" i="23" s="1"/>
  <c r="AI44" i="23" s="1"/>
  <c r="AI45" i="23" s="1"/>
  <c r="AI46" i="23" s="1"/>
  <c r="AI47" i="23" s="1"/>
  <c r="AI48" i="23" s="1"/>
  <c r="AI49" i="23" s="1"/>
  <c r="AI50" i="23" s="1"/>
  <c r="AI51" i="23" s="1"/>
  <c r="AI52" i="23" s="1"/>
  <c r="AI53" i="23" s="1"/>
  <c r="E3" i="8"/>
  <c r="AJ8" i="23" s="1"/>
  <c r="V10" i="23"/>
  <c r="V11" i="23"/>
  <c r="V12" i="23"/>
  <c r="V13" i="23"/>
  <c r="V14" i="23"/>
  <c r="V15" i="23"/>
  <c r="V16" i="23"/>
  <c r="V17" i="23"/>
  <c r="V18" i="23"/>
  <c r="V9" i="23"/>
  <c r="V8" i="23"/>
  <c r="V7" i="23"/>
  <c r="V6" i="23"/>
  <c r="V5" i="23"/>
  <c r="V4" i="23"/>
  <c r="AQ27" i="23"/>
  <c r="AQ26" i="23"/>
  <c r="AQ25" i="23"/>
  <c r="AQ24" i="23"/>
  <c r="AQ23" i="23"/>
  <c r="AQ22" i="23"/>
  <c r="AQ21" i="23"/>
  <c r="AQ20" i="23"/>
  <c r="AQ19" i="23"/>
  <c r="AQ18" i="23"/>
  <c r="AQ17" i="23"/>
  <c r="AQ16" i="23"/>
  <c r="AQ15" i="23"/>
  <c r="AQ14" i="23"/>
  <c r="AQ13" i="23"/>
  <c r="AQ12" i="23"/>
  <c r="AQ11" i="23"/>
  <c r="AQ10" i="23"/>
  <c r="AQ9" i="23"/>
  <c r="AQ8" i="23"/>
  <c r="AQ7" i="23"/>
  <c r="AQ6" i="23"/>
  <c r="AQ5" i="23"/>
  <c r="AT4" i="23"/>
  <c r="AT5" i="23" s="1"/>
  <c r="AT6" i="23" s="1"/>
  <c r="AT7" i="23" s="1"/>
  <c r="AT8" i="23" s="1"/>
  <c r="AT9" i="23" s="1"/>
  <c r="AT10" i="23" s="1"/>
  <c r="AT11" i="23" s="1"/>
  <c r="AT12" i="23" s="1"/>
  <c r="AT13" i="23" s="1"/>
  <c r="AT14" i="23" s="1"/>
  <c r="AT15" i="23" s="1"/>
  <c r="AT16" i="23" s="1"/>
  <c r="AT17" i="23" s="1"/>
  <c r="AT18" i="23" s="1"/>
  <c r="AT19" i="23" s="1"/>
  <c r="AT20" i="23" s="1"/>
  <c r="AT21" i="23" s="1"/>
  <c r="AT22" i="23" s="1"/>
  <c r="AT23" i="23" s="1"/>
  <c r="AT24" i="23" s="1"/>
  <c r="AT25" i="23" s="1"/>
  <c r="AT26" i="23" s="1"/>
  <c r="AT27" i="23" s="1"/>
  <c r="T28" i="23" s="1"/>
  <c r="AQ4" i="23"/>
  <c r="AS4" i="23" s="1"/>
  <c r="O4" i="23"/>
  <c r="O5" i="23" s="1"/>
  <c r="O6" i="23" s="1"/>
  <c r="O7" i="23" s="1"/>
  <c r="O8" i="23" s="1"/>
  <c r="O9" i="23" s="1"/>
  <c r="O10" i="23" s="1"/>
  <c r="O11" i="23" s="1"/>
  <c r="O12" i="23" s="1"/>
  <c r="O13" i="23" s="1"/>
  <c r="O14" i="23" s="1"/>
  <c r="O15" i="23" s="1"/>
  <c r="O16" i="23" s="1"/>
  <c r="O17" i="23" s="1"/>
  <c r="O18" i="23" s="1"/>
  <c r="O19" i="23" s="1"/>
  <c r="O20" i="23" s="1"/>
  <c r="O21" i="23" s="1"/>
  <c r="O22" i="23" s="1"/>
  <c r="O23" i="23" s="1"/>
  <c r="O24" i="23" s="1"/>
  <c r="O25" i="23" s="1"/>
  <c r="O26" i="23" s="1"/>
  <c r="O27" i="23" s="1"/>
  <c r="O28" i="23" s="1"/>
  <c r="O29" i="23" s="1"/>
  <c r="O30" i="23" s="1"/>
  <c r="O31" i="23" s="1"/>
  <c r="O32" i="23" s="1"/>
  <c r="O33" i="23" s="1"/>
  <c r="O34" i="23" s="1"/>
  <c r="O35" i="23" s="1"/>
  <c r="O36" i="23" s="1"/>
  <c r="O37" i="23" s="1"/>
  <c r="O38" i="23" s="1"/>
  <c r="O39" i="23" s="1"/>
  <c r="O40" i="23" s="1"/>
  <c r="O41" i="23" s="1"/>
  <c r="O42" i="23" s="1"/>
  <c r="O43" i="23" s="1"/>
  <c r="O44" i="23" s="1"/>
  <c r="O45" i="23" s="1"/>
  <c r="O46" i="23" s="1"/>
  <c r="O47" i="23" s="1"/>
  <c r="O48" i="23" s="1"/>
  <c r="O49" i="23" s="1"/>
  <c r="O50" i="23" s="1"/>
  <c r="O51" i="23" s="1"/>
  <c r="O52" i="23" s="1"/>
  <c r="O53" i="23" s="1"/>
  <c r="M4" i="23"/>
  <c r="M5" i="23" s="1"/>
  <c r="M6" i="23" s="1"/>
  <c r="M7" i="23" s="1"/>
  <c r="M8" i="23" s="1"/>
  <c r="M9" i="23" s="1"/>
  <c r="M10" i="23" s="1"/>
  <c r="M11" i="23" s="1"/>
  <c r="M12" i="23" s="1"/>
  <c r="M13" i="23" s="1"/>
  <c r="M14" i="23" s="1"/>
  <c r="M15" i="23" s="1"/>
  <c r="M16" i="23" s="1"/>
  <c r="M17" i="23" s="1"/>
  <c r="M18" i="23" s="1"/>
  <c r="M19" i="23" s="1"/>
  <c r="M20" i="23" s="1"/>
  <c r="M21" i="23" s="1"/>
  <c r="M22" i="23" s="1"/>
  <c r="M23" i="23" s="1"/>
  <c r="M24" i="23" s="1"/>
  <c r="M25" i="23" s="1"/>
  <c r="M26" i="23" s="1"/>
  <c r="M27" i="23" s="1"/>
  <c r="L4" i="23"/>
  <c r="AP4" i="23" s="1"/>
  <c r="AR4" i="23" s="1"/>
  <c r="J4" i="23"/>
  <c r="N4" i="23" s="1"/>
  <c r="AL3" i="23"/>
  <c r="U3" i="23"/>
  <c r="AM3" i="23" s="1"/>
  <c r="H88" i="13"/>
  <c r="AS5" i="23" l="1"/>
  <c r="AS6" i="23" s="1"/>
  <c r="AS7" i="23" s="1"/>
  <c r="AS8" i="23" s="1"/>
  <c r="AS9" i="23" s="1"/>
  <c r="AS10" i="23" s="1"/>
  <c r="AS11" i="23" s="1"/>
  <c r="AS12" i="23" s="1"/>
  <c r="AS13" i="23" s="1"/>
  <c r="AS14" i="23" s="1"/>
  <c r="AS15" i="23" s="1"/>
  <c r="AS16" i="23" s="1"/>
  <c r="AS17" i="23" s="1"/>
  <c r="AS18" i="23" s="1"/>
  <c r="AS19" i="23" s="1"/>
  <c r="AS20" i="23" s="1"/>
  <c r="AS21" i="23" s="1"/>
  <c r="AS22" i="23" s="1"/>
  <c r="AS23" i="23" s="1"/>
  <c r="AS24" i="23" s="1"/>
  <c r="AS25" i="23" s="1"/>
  <c r="AS26" i="23" s="1"/>
  <c r="AS27" i="23" s="1"/>
  <c r="S28" i="23" s="1"/>
  <c r="S29" i="23" s="1"/>
  <c r="S30" i="23" s="1"/>
  <c r="S31" i="23" s="1"/>
  <c r="S32" i="23" s="1"/>
  <c r="S33" i="23" s="1"/>
  <c r="S34" i="23" s="1"/>
  <c r="S35" i="23" s="1"/>
  <c r="S36" i="23" s="1"/>
  <c r="S37" i="23" s="1"/>
  <c r="S38" i="23" s="1"/>
  <c r="S39" i="23" s="1"/>
  <c r="S40" i="23" s="1"/>
  <c r="S41" i="23" s="1"/>
  <c r="S42" i="23" s="1"/>
  <c r="S43" i="23" s="1"/>
  <c r="S44" i="23" s="1"/>
  <c r="S45" i="23" s="1"/>
  <c r="S46" i="23" s="1"/>
  <c r="S47" i="23" s="1"/>
  <c r="AL28" i="23"/>
  <c r="U4" i="23"/>
  <c r="AL5" i="23"/>
  <c r="AL9" i="23"/>
  <c r="AL10" i="23"/>
  <c r="L5" i="23"/>
  <c r="AL29" i="23"/>
  <c r="AL4" i="23"/>
  <c r="AM4" i="23" l="1"/>
  <c r="AN4" i="23" s="1"/>
  <c r="J5" i="23" s="1"/>
  <c r="N5" i="23" s="1"/>
  <c r="U5" i="23" s="1"/>
  <c r="AM5" i="23" s="1"/>
  <c r="AN5" i="23" s="1"/>
  <c r="J6" i="23" s="1"/>
  <c r="AL30" i="23"/>
  <c r="AP5" i="23"/>
  <c r="AR5" i="23" s="1"/>
  <c r="L6" i="23"/>
  <c r="AL6" i="23"/>
  <c r="AL11" i="23"/>
  <c r="AL15" i="23"/>
  <c r="AO4" i="10"/>
  <c r="N6" i="23" l="1"/>
  <c r="U6" i="23" s="1"/>
  <c r="AM6" i="23" s="1"/>
  <c r="AN6" i="23" s="1"/>
  <c r="J7" i="23" s="1"/>
  <c r="AP6" i="23"/>
  <c r="AR6" i="23" s="1"/>
  <c r="L7" i="23"/>
  <c r="AL8" i="23"/>
  <c r="AL7" i="23"/>
  <c r="AL31" i="23"/>
  <c r="AL16" i="23"/>
  <c r="AL12" i="23"/>
  <c r="M4" i="10"/>
  <c r="N7" i="23" l="1"/>
  <c r="U7" i="23" s="1"/>
  <c r="AM7" i="23" s="1"/>
  <c r="AN7" i="23" s="1"/>
  <c r="J8" i="23" s="1"/>
  <c r="AL17" i="23"/>
  <c r="AL32" i="23"/>
  <c r="AL13" i="23"/>
  <c r="AL14" i="23"/>
  <c r="L8" i="23"/>
  <c r="AP7" i="23"/>
  <c r="AR7" i="23" s="1"/>
  <c r="W4" i="10"/>
  <c r="O4" i="10"/>
  <c r="D6" i="8"/>
  <c r="N8" i="23" l="1"/>
  <c r="U8" i="23" s="1"/>
  <c r="AM8" i="23" s="1"/>
  <c r="AN8" i="23" s="1"/>
  <c r="J9" i="23" s="1"/>
  <c r="AL33" i="23"/>
  <c r="AP8" i="23"/>
  <c r="AR8" i="23" s="1"/>
  <c r="L9" i="23"/>
  <c r="AL18" i="23"/>
  <c r="C16" i="6"/>
  <c r="D16" i="6"/>
  <c r="E16" i="6"/>
  <c r="F16" i="6"/>
  <c r="G16" i="6"/>
  <c r="H16" i="6"/>
  <c r="I16" i="6"/>
  <c r="J16" i="6"/>
  <c r="K16" i="6"/>
  <c r="L16" i="6"/>
  <c r="M16" i="6"/>
  <c r="B16" i="6"/>
  <c r="C47" i="6"/>
  <c r="D47" i="6"/>
  <c r="E47" i="6"/>
  <c r="F47" i="6"/>
  <c r="G47" i="6"/>
  <c r="H47" i="6"/>
  <c r="I47" i="6"/>
  <c r="J47" i="6"/>
  <c r="K47" i="6"/>
  <c r="L47" i="6"/>
  <c r="M47" i="6"/>
  <c r="B47" i="6"/>
  <c r="H87" i="13"/>
  <c r="N44" i="6"/>
  <c r="N45" i="6"/>
  <c r="N46" i="6"/>
  <c r="N47" i="6"/>
  <c r="N48" i="6"/>
  <c r="N49" i="6"/>
  <c r="N43" i="6"/>
  <c r="H44" i="13"/>
  <c r="H43" i="13"/>
  <c r="H41" i="13"/>
  <c r="N37" i="6"/>
  <c r="N36" i="6"/>
  <c r="C32" i="6"/>
  <c r="D32" i="6"/>
  <c r="E32" i="6"/>
  <c r="F32" i="6"/>
  <c r="G32" i="6"/>
  <c r="H32" i="6"/>
  <c r="I32" i="6"/>
  <c r="J32" i="6"/>
  <c r="K32" i="6"/>
  <c r="L32" i="6"/>
  <c r="M32" i="6"/>
  <c r="B32" i="6"/>
  <c r="N32" i="6" s="1"/>
  <c r="C31" i="6"/>
  <c r="D31" i="6"/>
  <c r="E31" i="6"/>
  <c r="F31" i="6"/>
  <c r="G31" i="6"/>
  <c r="H31" i="6"/>
  <c r="I31" i="6"/>
  <c r="J31" i="6"/>
  <c r="K31" i="6"/>
  <c r="L31" i="6"/>
  <c r="M31" i="6"/>
  <c r="B31" i="6"/>
  <c r="H66" i="13"/>
  <c r="H65" i="13"/>
  <c r="C14" i="6"/>
  <c r="D14" i="6"/>
  <c r="E14" i="6"/>
  <c r="F14" i="6"/>
  <c r="G14" i="6"/>
  <c r="H14" i="6"/>
  <c r="I14" i="6"/>
  <c r="J14" i="6"/>
  <c r="K14" i="6"/>
  <c r="L14" i="6"/>
  <c r="M14" i="6"/>
  <c r="B14" i="6"/>
  <c r="H26" i="13"/>
  <c r="N29" i="6"/>
  <c r="N28" i="6"/>
  <c r="N23" i="6"/>
  <c r="H51" i="13"/>
  <c r="H52" i="13"/>
  <c r="H53" i="13"/>
  <c r="H54" i="13"/>
  <c r="H50" i="13"/>
  <c r="N20" i="6"/>
  <c r="H37" i="13"/>
  <c r="H30" i="13"/>
  <c r="N15" i="6"/>
  <c r="N13" i="6"/>
  <c r="N8" i="6"/>
  <c r="C7" i="2"/>
  <c r="C6" i="2"/>
  <c r="F6" i="13"/>
  <c r="N9" i="6"/>
  <c r="B5" i="6"/>
  <c r="N5" i="6" s="1"/>
  <c r="F36" i="13"/>
  <c r="H36" i="13" s="1"/>
  <c r="F86" i="13"/>
  <c r="F91" i="13"/>
  <c r="F81" i="13"/>
  <c r="H81" i="13" s="1"/>
  <c r="F80" i="13"/>
  <c r="F83" i="13" s="1"/>
  <c r="AF4" i="10"/>
  <c r="F76" i="13"/>
  <c r="F78" i="13" s="1"/>
  <c r="AD4" i="11"/>
  <c r="AD5" i="11" s="1"/>
  <c r="AD6" i="11" s="1"/>
  <c r="AD7" i="11" s="1"/>
  <c r="AD8" i="11" s="1"/>
  <c r="AD9" i="11" s="1"/>
  <c r="AD10" i="11" s="1"/>
  <c r="AD11" i="11" s="1"/>
  <c r="AD12" i="11" s="1"/>
  <c r="AD13" i="11" s="1"/>
  <c r="AD14" i="11" s="1"/>
  <c r="AD15" i="11" s="1"/>
  <c r="AD16" i="11" s="1"/>
  <c r="AD17" i="11" s="1"/>
  <c r="AD18" i="11" s="1"/>
  <c r="AD19" i="11" s="1"/>
  <c r="AD20" i="11" s="1"/>
  <c r="AD21" i="11" s="1"/>
  <c r="AD22" i="11" s="1"/>
  <c r="AD23" i="11" s="1"/>
  <c r="AD24" i="11" s="1"/>
  <c r="AD25" i="11" s="1"/>
  <c r="AD26" i="11" s="1"/>
  <c r="AD27" i="11" s="1"/>
  <c r="F57" i="13"/>
  <c r="F35" i="13"/>
  <c r="H35" i="13" s="1"/>
  <c r="F13" i="13"/>
  <c r="F17" i="13" s="1"/>
  <c r="F7" i="13"/>
  <c r="F31" i="13"/>
  <c r="F33" i="13" s="1"/>
  <c r="L4" i="12"/>
  <c r="L4" i="11"/>
  <c r="AP4" i="11" s="1"/>
  <c r="AR4" i="11" s="1"/>
  <c r="L5" i="10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F71" i="13"/>
  <c r="F64" i="13"/>
  <c r="H64" i="13" s="1"/>
  <c r="F62" i="13"/>
  <c r="F25" i="13"/>
  <c r="C93" i="13"/>
  <c r="C54" i="13"/>
  <c r="C57" i="13" s="1"/>
  <c r="C39" i="13"/>
  <c r="C83" i="13"/>
  <c r="C33" i="13"/>
  <c r="C78" i="13"/>
  <c r="C25" i="13"/>
  <c r="C27" i="13" s="1"/>
  <c r="C42" i="13"/>
  <c r="C46" i="13" s="1"/>
  <c r="C17" i="13"/>
  <c r="C64" i="13"/>
  <c r="C71" i="13" s="1"/>
  <c r="C62" i="13"/>
  <c r="C8" i="13"/>
  <c r="AQ27" i="12"/>
  <c r="AQ26" i="12"/>
  <c r="AQ25" i="12"/>
  <c r="AQ24" i="12"/>
  <c r="AQ23" i="12"/>
  <c r="AG23" i="12"/>
  <c r="AQ22" i="12"/>
  <c r="AG22" i="12"/>
  <c r="Y22" i="12"/>
  <c r="Y23" i="12" s="1"/>
  <c r="Y24" i="12" s="1"/>
  <c r="Y25" i="12" s="1"/>
  <c r="Y26" i="12" s="1"/>
  <c r="W22" i="12"/>
  <c r="W23" i="12" s="1"/>
  <c r="W24" i="12" s="1"/>
  <c r="AQ21" i="12"/>
  <c r="AG21" i="12"/>
  <c r="AQ20" i="12"/>
  <c r="AG20" i="12"/>
  <c r="AQ19" i="12"/>
  <c r="AG19" i="12"/>
  <c r="AQ18" i="12"/>
  <c r="AG18" i="12"/>
  <c r="AQ17" i="12"/>
  <c r="AG17" i="12"/>
  <c r="AQ16" i="12"/>
  <c r="AG16" i="12"/>
  <c r="Y16" i="12"/>
  <c r="Y17" i="12" s="1"/>
  <c r="Y18" i="12" s="1"/>
  <c r="Y19" i="12" s="1"/>
  <c r="Y20" i="12" s="1"/>
  <c r="W16" i="12"/>
  <c r="W17" i="12" s="1"/>
  <c r="W18" i="12" s="1"/>
  <c r="AQ15" i="12"/>
  <c r="AG15" i="12"/>
  <c r="AQ14" i="12"/>
  <c r="AG14" i="12"/>
  <c r="AQ13" i="12"/>
  <c r="AG13" i="12"/>
  <c r="AQ12" i="12"/>
  <c r="AQ11" i="12"/>
  <c r="AQ10" i="12"/>
  <c r="Y10" i="12"/>
  <c r="Y11" i="12" s="1"/>
  <c r="Y12" i="12" s="1"/>
  <c r="Y13" i="12" s="1"/>
  <c r="Y14" i="12" s="1"/>
  <c r="W10" i="12"/>
  <c r="AQ9" i="12"/>
  <c r="AQ8" i="12"/>
  <c r="AJ8" i="12"/>
  <c r="AQ7" i="12"/>
  <c r="AQ6" i="12"/>
  <c r="AQ5" i="12"/>
  <c r="AT4" i="12"/>
  <c r="AT5" i="12" s="1"/>
  <c r="AT6" i="12" s="1"/>
  <c r="AT7" i="12" s="1"/>
  <c r="AT8" i="12" s="1"/>
  <c r="AT9" i="12" s="1"/>
  <c r="AT10" i="12" s="1"/>
  <c r="AT11" i="12" s="1"/>
  <c r="AT12" i="12" s="1"/>
  <c r="AT13" i="12" s="1"/>
  <c r="AT14" i="12" s="1"/>
  <c r="AT15" i="12" s="1"/>
  <c r="AT16" i="12" s="1"/>
  <c r="AT17" i="12" s="1"/>
  <c r="AT18" i="12" s="1"/>
  <c r="AT19" i="12" s="1"/>
  <c r="AT20" i="12" s="1"/>
  <c r="AT21" i="12" s="1"/>
  <c r="AT22" i="12" s="1"/>
  <c r="AT23" i="12" s="1"/>
  <c r="AT24" i="12" s="1"/>
  <c r="AT25" i="12" s="1"/>
  <c r="AT26" i="12" s="1"/>
  <c r="AT27" i="12" s="1"/>
  <c r="T28" i="12" s="1"/>
  <c r="AQ4" i="12"/>
  <c r="AS4" i="12" s="1"/>
  <c r="AH4" i="12"/>
  <c r="AH5" i="12" s="1"/>
  <c r="AH6" i="12" s="1"/>
  <c r="AH7" i="12" s="1"/>
  <c r="AH8" i="12" s="1"/>
  <c r="AH9" i="12" s="1"/>
  <c r="AH10" i="12" s="1"/>
  <c r="AH11" i="12" s="1"/>
  <c r="AH12" i="12" s="1"/>
  <c r="AH13" i="12" s="1"/>
  <c r="AH14" i="12" s="1"/>
  <c r="AH15" i="12" s="1"/>
  <c r="AH16" i="12" s="1"/>
  <c r="AH17" i="12" s="1"/>
  <c r="AH18" i="12" s="1"/>
  <c r="AH19" i="12" s="1"/>
  <c r="AH20" i="12" s="1"/>
  <c r="AH21" i="12" s="1"/>
  <c r="AH22" i="12" s="1"/>
  <c r="AH23" i="12" s="1"/>
  <c r="AF4" i="12"/>
  <c r="AF5" i="12" s="1"/>
  <c r="AF6" i="12" s="1"/>
  <c r="AF7" i="12" s="1"/>
  <c r="AF8" i="12" s="1"/>
  <c r="AF9" i="12" s="1"/>
  <c r="AE4" i="12"/>
  <c r="AE5" i="12" s="1"/>
  <c r="AE6" i="12" s="1"/>
  <c r="AE7" i="12" s="1"/>
  <c r="AE8" i="12" s="1"/>
  <c r="AE9" i="12" s="1"/>
  <c r="AE10" i="12" s="1"/>
  <c r="AE11" i="12" s="1"/>
  <c r="AE12" i="12" s="1"/>
  <c r="AE13" i="12" s="1"/>
  <c r="AE14" i="12" s="1"/>
  <c r="AE15" i="12" s="1"/>
  <c r="AE16" i="12" s="1"/>
  <c r="AE17" i="12" s="1"/>
  <c r="AE18" i="12" s="1"/>
  <c r="AE19" i="12" s="1"/>
  <c r="AE20" i="12" s="1"/>
  <c r="AE21" i="12" s="1"/>
  <c r="AE22" i="12" s="1"/>
  <c r="AE23" i="12" s="1"/>
  <c r="AE24" i="12" s="1"/>
  <c r="AE25" i="12" s="1"/>
  <c r="AE26" i="12" s="1"/>
  <c r="AE27" i="12" s="1"/>
  <c r="AD4" i="12"/>
  <c r="AD5" i="12" s="1"/>
  <c r="AD6" i="12" s="1"/>
  <c r="AD7" i="12" s="1"/>
  <c r="AD8" i="12" s="1"/>
  <c r="AD9" i="12" s="1"/>
  <c r="AD10" i="12" s="1"/>
  <c r="AD11" i="12" s="1"/>
  <c r="AD12" i="12" s="1"/>
  <c r="AD13" i="12" s="1"/>
  <c r="AD14" i="12" s="1"/>
  <c r="AD15" i="12" s="1"/>
  <c r="AD16" i="12" s="1"/>
  <c r="AD17" i="12" s="1"/>
  <c r="AD18" i="12" s="1"/>
  <c r="AD19" i="12" s="1"/>
  <c r="AD20" i="12" s="1"/>
  <c r="AD21" i="12" s="1"/>
  <c r="AD22" i="12" s="1"/>
  <c r="AD23" i="12" s="1"/>
  <c r="AD24" i="12" s="1"/>
  <c r="AD25" i="12" s="1"/>
  <c r="AD26" i="12" s="1"/>
  <c r="AD27" i="12" s="1"/>
  <c r="Z4" i="12"/>
  <c r="Z5" i="12" s="1"/>
  <c r="Z6" i="12" s="1"/>
  <c r="Z7" i="12" s="1"/>
  <c r="Z8" i="12" s="1"/>
  <c r="Z9" i="12" s="1"/>
  <c r="Y4" i="12"/>
  <c r="Y5" i="12" s="1"/>
  <c r="Y6" i="12" s="1"/>
  <c r="Y7" i="12" s="1"/>
  <c r="Y8" i="12" s="1"/>
  <c r="W4" i="12"/>
  <c r="W5" i="12" s="1"/>
  <c r="O4" i="12"/>
  <c r="O5" i="12" s="1"/>
  <c r="O6" i="12" s="1"/>
  <c r="O7" i="12" s="1"/>
  <c r="O8" i="12" s="1"/>
  <c r="O9" i="12" s="1"/>
  <c r="O10" i="12" s="1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O29" i="12" s="1"/>
  <c r="O30" i="12" s="1"/>
  <c r="O31" i="12" s="1"/>
  <c r="O32" i="12" s="1"/>
  <c r="O33" i="12" s="1"/>
  <c r="O34" i="12" s="1"/>
  <c r="O35" i="12" s="1"/>
  <c r="O36" i="12" s="1"/>
  <c r="O37" i="12" s="1"/>
  <c r="O38" i="12" s="1"/>
  <c r="O39" i="12" s="1"/>
  <c r="O40" i="12" s="1"/>
  <c r="O41" i="12" s="1"/>
  <c r="O42" i="12" s="1"/>
  <c r="O43" i="12" s="1"/>
  <c r="O44" i="12" s="1"/>
  <c r="O45" i="12" s="1"/>
  <c r="O46" i="12" s="1"/>
  <c r="O47" i="12" s="1"/>
  <c r="O48" i="12" s="1"/>
  <c r="O49" i="12" s="1"/>
  <c r="O50" i="12" s="1"/>
  <c r="O51" i="12" s="1"/>
  <c r="O52" i="12" s="1"/>
  <c r="O53" i="12" s="1"/>
  <c r="M4" i="12"/>
  <c r="M5" i="12" s="1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J4" i="12"/>
  <c r="N4" i="12" s="1"/>
  <c r="AL3" i="12"/>
  <c r="U3" i="12"/>
  <c r="AL3" i="11"/>
  <c r="U3" i="11"/>
  <c r="AM3" i="11" s="1"/>
  <c r="AQ27" i="11"/>
  <c r="AQ26" i="11"/>
  <c r="AQ25" i="11"/>
  <c r="AQ24" i="11"/>
  <c r="AQ23" i="11"/>
  <c r="AG23" i="11"/>
  <c r="AQ22" i="11"/>
  <c r="AG22" i="11"/>
  <c r="Y22" i="11"/>
  <c r="W22" i="11"/>
  <c r="W23" i="11" s="1"/>
  <c r="W24" i="11" s="1"/>
  <c r="AQ21" i="11"/>
  <c r="AG21" i="11"/>
  <c r="AQ20" i="11"/>
  <c r="AG20" i="11"/>
  <c r="AQ19" i="11"/>
  <c r="AG19" i="11"/>
  <c r="AQ18" i="11"/>
  <c r="AG18" i="11"/>
  <c r="AQ17" i="11"/>
  <c r="AG17" i="11"/>
  <c r="AQ16" i="11"/>
  <c r="AG16" i="11"/>
  <c r="Y16" i="11"/>
  <c r="Y17" i="11" s="1"/>
  <c r="Y18" i="11" s="1"/>
  <c r="Y19" i="11" s="1"/>
  <c r="Y20" i="11" s="1"/>
  <c r="W16" i="11"/>
  <c r="W17" i="11" s="1"/>
  <c r="AQ15" i="11"/>
  <c r="AG15" i="11"/>
  <c r="AQ14" i="11"/>
  <c r="AG14" i="11"/>
  <c r="AQ13" i="11"/>
  <c r="AG13" i="11"/>
  <c r="AQ12" i="11"/>
  <c r="AQ11" i="11"/>
  <c r="AQ10" i="11"/>
  <c r="Y10" i="11"/>
  <c r="Y11" i="11" s="1"/>
  <c r="W10" i="11"/>
  <c r="W11" i="11" s="1"/>
  <c r="W12" i="11" s="1"/>
  <c r="AQ9" i="11"/>
  <c r="AQ8" i="11"/>
  <c r="AJ8" i="11"/>
  <c r="AQ7" i="11"/>
  <c r="AQ6" i="11"/>
  <c r="AQ5" i="11"/>
  <c r="AT4" i="11"/>
  <c r="AT5" i="11" s="1"/>
  <c r="AT6" i="11" s="1"/>
  <c r="AT7" i="11" s="1"/>
  <c r="AT8" i="11" s="1"/>
  <c r="AT9" i="11" s="1"/>
  <c r="AT10" i="11" s="1"/>
  <c r="AT11" i="11" s="1"/>
  <c r="AT12" i="11" s="1"/>
  <c r="AT13" i="11" s="1"/>
  <c r="AT14" i="11" s="1"/>
  <c r="AT15" i="11" s="1"/>
  <c r="AT16" i="11" s="1"/>
  <c r="AT17" i="11" s="1"/>
  <c r="AT18" i="11" s="1"/>
  <c r="AT19" i="11" s="1"/>
  <c r="AT20" i="11" s="1"/>
  <c r="AT21" i="11" s="1"/>
  <c r="AT22" i="11" s="1"/>
  <c r="AT23" i="11" s="1"/>
  <c r="AT24" i="11" s="1"/>
  <c r="AT25" i="11" s="1"/>
  <c r="AT26" i="11" s="1"/>
  <c r="AT27" i="11" s="1"/>
  <c r="T28" i="11" s="1"/>
  <c r="AQ4" i="11"/>
  <c r="AS4" i="11" s="1"/>
  <c r="AH4" i="11"/>
  <c r="AH5" i="11" s="1"/>
  <c r="AH6" i="11" s="1"/>
  <c r="AH7" i="11" s="1"/>
  <c r="AH8" i="11" s="1"/>
  <c r="AH9" i="11" s="1"/>
  <c r="AH10" i="11" s="1"/>
  <c r="AH11" i="11" s="1"/>
  <c r="AH12" i="11" s="1"/>
  <c r="AH13" i="11" s="1"/>
  <c r="AH14" i="11" s="1"/>
  <c r="AH15" i="11" s="1"/>
  <c r="AH16" i="11" s="1"/>
  <c r="AH17" i="11" s="1"/>
  <c r="AH18" i="11" s="1"/>
  <c r="AH19" i="11" s="1"/>
  <c r="AH20" i="11" s="1"/>
  <c r="AH21" i="11" s="1"/>
  <c r="AH22" i="11" s="1"/>
  <c r="AH23" i="11" s="1"/>
  <c r="AF4" i="11"/>
  <c r="AF5" i="11" s="1"/>
  <c r="AF6" i="11" s="1"/>
  <c r="AF7" i="11" s="1"/>
  <c r="AF8" i="11" s="1"/>
  <c r="AF9" i="11" s="1"/>
  <c r="AE4" i="11"/>
  <c r="AE5" i="11" s="1"/>
  <c r="AE6" i="11" s="1"/>
  <c r="AE7" i="11" s="1"/>
  <c r="AE8" i="11" s="1"/>
  <c r="AE9" i="11" s="1"/>
  <c r="AE10" i="11" s="1"/>
  <c r="AE11" i="11" s="1"/>
  <c r="AE12" i="11" s="1"/>
  <c r="AE13" i="11" s="1"/>
  <c r="AE14" i="11" s="1"/>
  <c r="AE15" i="11" s="1"/>
  <c r="AE16" i="11" s="1"/>
  <c r="AE17" i="11" s="1"/>
  <c r="AE18" i="11" s="1"/>
  <c r="AE19" i="11" s="1"/>
  <c r="AE20" i="11" s="1"/>
  <c r="AE21" i="11" s="1"/>
  <c r="AE22" i="11" s="1"/>
  <c r="AE23" i="11" s="1"/>
  <c r="AE24" i="11" s="1"/>
  <c r="AE25" i="11" s="1"/>
  <c r="AE26" i="11" s="1"/>
  <c r="AE27" i="11" s="1"/>
  <c r="Z4" i="11"/>
  <c r="Z5" i="11" s="1"/>
  <c r="Z6" i="11" s="1"/>
  <c r="Z7" i="11" s="1"/>
  <c r="Z8" i="11" s="1"/>
  <c r="Z9" i="11" s="1"/>
  <c r="Y4" i="11"/>
  <c r="Y5" i="11" s="1"/>
  <c r="Y6" i="11" s="1"/>
  <c r="Y7" i="11" s="1"/>
  <c r="Y8" i="11" s="1"/>
  <c r="W4" i="11"/>
  <c r="W5" i="11" s="1"/>
  <c r="O4" i="11"/>
  <c r="O5" i="11" s="1"/>
  <c r="O6" i="11" s="1"/>
  <c r="O7" i="11" s="1"/>
  <c r="O8" i="11" s="1"/>
  <c r="O9" i="11" s="1"/>
  <c r="O10" i="11" s="1"/>
  <c r="O11" i="11" s="1"/>
  <c r="O12" i="11" s="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O30" i="11" s="1"/>
  <c r="O31" i="11" s="1"/>
  <c r="O32" i="11" s="1"/>
  <c r="O33" i="11" s="1"/>
  <c r="O34" i="11" s="1"/>
  <c r="O35" i="11" s="1"/>
  <c r="O36" i="11" s="1"/>
  <c r="O37" i="11" s="1"/>
  <c r="O38" i="11" s="1"/>
  <c r="O39" i="11" s="1"/>
  <c r="O40" i="11" s="1"/>
  <c r="O41" i="11" s="1"/>
  <c r="O42" i="11" s="1"/>
  <c r="O43" i="11" s="1"/>
  <c r="O44" i="11" s="1"/>
  <c r="O45" i="11" s="1"/>
  <c r="O46" i="11" s="1"/>
  <c r="O47" i="11" s="1"/>
  <c r="O48" i="11" s="1"/>
  <c r="O49" i="11" s="1"/>
  <c r="O50" i="11" s="1"/>
  <c r="O51" i="11" s="1"/>
  <c r="O52" i="11" s="1"/>
  <c r="O53" i="11" s="1"/>
  <c r="M4" i="11"/>
  <c r="M5" i="11" s="1"/>
  <c r="M6" i="11" s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J4" i="11"/>
  <c r="N4" i="11" s="1"/>
  <c r="U3" i="10"/>
  <c r="AS4" i="10"/>
  <c r="AS5" i="10" s="1"/>
  <c r="AS6" i="10" s="1"/>
  <c r="AS7" i="10" s="1"/>
  <c r="AS8" i="10" s="1"/>
  <c r="AS9" i="10" s="1"/>
  <c r="AS10" i="10" s="1"/>
  <c r="AS11" i="10" s="1"/>
  <c r="AS12" i="10" s="1"/>
  <c r="AS13" i="10" s="1"/>
  <c r="AS14" i="10" s="1"/>
  <c r="AS15" i="10" s="1"/>
  <c r="AS16" i="10" s="1"/>
  <c r="AS17" i="10" s="1"/>
  <c r="AS18" i="10" s="1"/>
  <c r="AS19" i="10" s="1"/>
  <c r="AS20" i="10" s="1"/>
  <c r="AS21" i="10" s="1"/>
  <c r="AS22" i="10" s="1"/>
  <c r="AS23" i="10" s="1"/>
  <c r="AS24" i="10" s="1"/>
  <c r="AS25" i="10" s="1"/>
  <c r="AS26" i="10" s="1"/>
  <c r="AS27" i="10" s="1"/>
  <c r="T28" i="10" s="1"/>
  <c r="AS5" i="11" l="1"/>
  <c r="AS6" i="11" s="1"/>
  <c r="AS7" i="11" s="1"/>
  <c r="AS8" i="11" s="1"/>
  <c r="AS9" i="11" s="1"/>
  <c r="AS10" i="11" s="1"/>
  <c r="AS11" i="11" s="1"/>
  <c r="AS12" i="11" s="1"/>
  <c r="AS13" i="11" s="1"/>
  <c r="AS14" i="11" s="1"/>
  <c r="AS15" i="11" s="1"/>
  <c r="AS16" i="11" s="1"/>
  <c r="AS17" i="11" s="1"/>
  <c r="AS18" i="11" s="1"/>
  <c r="AS19" i="11" s="1"/>
  <c r="AS20" i="11" s="1"/>
  <c r="AS21" i="11" s="1"/>
  <c r="AS22" i="11" s="1"/>
  <c r="AS23" i="11" s="1"/>
  <c r="AS24" i="11" s="1"/>
  <c r="AS25" i="11" s="1"/>
  <c r="AS26" i="11" s="1"/>
  <c r="AS27" i="11" s="1"/>
  <c r="S28" i="11" s="1"/>
  <c r="S29" i="11" s="1"/>
  <c r="S30" i="11" s="1"/>
  <c r="S31" i="11" s="1"/>
  <c r="S32" i="11" s="1"/>
  <c r="S33" i="11" s="1"/>
  <c r="S34" i="11" s="1"/>
  <c r="S35" i="11" s="1"/>
  <c r="S36" i="11" s="1"/>
  <c r="S37" i="11" s="1"/>
  <c r="S38" i="11" s="1"/>
  <c r="S39" i="11" s="1"/>
  <c r="S40" i="11" s="1"/>
  <c r="S41" i="11" s="1"/>
  <c r="S42" i="11" s="1"/>
  <c r="S43" i="11" s="1"/>
  <c r="S44" i="11" s="1"/>
  <c r="S45" i="11" s="1"/>
  <c r="S46" i="11" s="1"/>
  <c r="S47" i="11" s="1"/>
  <c r="AS5" i="12"/>
  <c r="AS6" i="12" s="1"/>
  <c r="AS7" i="12" s="1"/>
  <c r="AS8" i="12" s="1"/>
  <c r="AS9" i="12" s="1"/>
  <c r="AS10" i="12" s="1"/>
  <c r="AS11" i="12" s="1"/>
  <c r="AS12" i="12" s="1"/>
  <c r="AS13" i="12" s="1"/>
  <c r="AS14" i="12" s="1"/>
  <c r="AS15" i="12" s="1"/>
  <c r="AS16" i="12" s="1"/>
  <c r="AS17" i="12" s="1"/>
  <c r="AS18" i="12" s="1"/>
  <c r="AS19" i="12" s="1"/>
  <c r="AS20" i="12" s="1"/>
  <c r="AS21" i="12" s="1"/>
  <c r="AS22" i="12" s="1"/>
  <c r="AS23" i="12" s="1"/>
  <c r="AS24" i="12" s="1"/>
  <c r="AS25" i="12" s="1"/>
  <c r="AS26" i="12" s="1"/>
  <c r="AS27" i="12" s="1"/>
  <c r="S28" i="12" s="1"/>
  <c r="S29" i="12" s="1"/>
  <c r="S30" i="12" s="1"/>
  <c r="S31" i="12" s="1"/>
  <c r="S32" i="12" s="1"/>
  <c r="S33" i="12" s="1"/>
  <c r="S34" i="12" s="1"/>
  <c r="S35" i="12" s="1"/>
  <c r="S36" i="12" s="1"/>
  <c r="S37" i="12" s="1"/>
  <c r="S38" i="12" s="1"/>
  <c r="S39" i="12" s="1"/>
  <c r="S40" i="12" s="1"/>
  <c r="S41" i="12" s="1"/>
  <c r="S42" i="12" s="1"/>
  <c r="S43" i="12" s="1"/>
  <c r="S44" i="12" s="1"/>
  <c r="S45" i="12" s="1"/>
  <c r="S46" i="12" s="1"/>
  <c r="S47" i="12" s="1"/>
  <c r="L10" i="23"/>
  <c r="U9" i="23"/>
  <c r="AM9" i="23" s="1"/>
  <c r="AN9" i="23" s="1"/>
  <c r="J10" i="23" s="1"/>
  <c r="AP9" i="23"/>
  <c r="AR9" i="23" s="1"/>
  <c r="AL34" i="23"/>
  <c r="AL19" i="23"/>
  <c r="AL4" i="12"/>
  <c r="U4" i="12"/>
  <c r="U4" i="11"/>
  <c r="AL4" i="11"/>
  <c r="AL5" i="11"/>
  <c r="C19" i="13"/>
  <c r="H31" i="13"/>
  <c r="H76" i="13"/>
  <c r="AM3" i="12"/>
  <c r="C94" i="13"/>
  <c r="C96" i="13" s="1"/>
  <c r="F27" i="13"/>
  <c r="F93" i="13"/>
  <c r="F46" i="13"/>
  <c r="F39" i="13"/>
  <c r="F8" i="13"/>
  <c r="F19" i="13" s="1"/>
  <c r="AP4" i="12"/>
  <c r="AR4" i="12" s="1"/>
  <c r="L5" i="12"/>
  <c r="AP5" i="12" s="1"/>
  <c r="Z10" i="12"/>
  <c r="Z11" i="12" s="1"/>
  <c r="Z12" i="12" s="1"/>
  <c r="Z13" i="12" s="1"/>
  <c r="Z14" i="12" s="1"/>
  <c r="Z15" i="12" s="1"/>
  <c r="AL5" i="12"/>
  <c r="W6" i="12"/>
  <c r="W19" i="12"/>
  <c r="W25" i="12"/>
  <c r="W11" i="12"/>
  <c r="L5" i="11"/>
  <c r="AP5" i="11" s="1"/>
  <c r="AR5" i="11" s="1"/>
  <c r="W25" i="11"/>
  <c r="W13" i="11"/>
  <c r="Z10" i="11"/>
  <c r="Y12" i="11"/>
  <c r="Y13" i="11" s="1"/>
  <c r="Y14" i="11" s="1"/>
  <c r="W18" i="11"/>
  <c r="W6" i="11"/>
  <c r="AL6" i="11" s="1"/>
  <c r="Y23" i="11"/>
  <c r="Y24" i="11" s="1"/>
  <c r="Y25" i="11" s="1"/>
  <c r="Y26" i="11" s="1"/>
  <c r="O5" i="10"/>
  <c r="O6" i="10" s="1"/>
  <c r="O7" i="10" s="1"/>
  <c r="O8" i="10" s="1"/>
  <c r="O9" i="10" s="1"/>
  <c r="O10" i="10" s="1"/>
  <c r="O11" i="10" s="1"/>
  <c r="O12" i="10" s="1"/>
  <c r="O13" i="10" s="1"/>
  <c r="O14" i="10" s="1"/>
  <c r="O15" i="10" s="1"/>
  <c r="O16" i="10" s="1"/>
  <c r="O17" i="10" s="1"/>
  <c r="O18" i="10" s="1"/>
  <c r="O19" i="10" s="1"/>
  <c r="O20" i="10" s="1"/>
  <c r="O21" i="10" s="1"/>
  <c r="O22" i="10" s="1"/>
  <c r="O23" i="10" s="1"/>
  <c r="O24" i="10" s="1"/>
  <c r="O25" i="10" s="1"/>
  <c r="O26" i="10" s="1"/>
  <c r="O27" i="10" s="1"/>
  <c r="O28" i="10" s="1"/>
  <c r="O29" i="10" s="1"/>
  <c r="O30" i="10" s="1"/>
  <c r="O31" i="10" s="1"/>
  <c r="O32" i="10" s="1"/>
  <c r="O33" i="10" s="1"/>
  <c r="O34" i="10" s="1"/>
  <c r="O35" i="10" s="1"/>
  <c r="O36" i="10" s="1"/>
  <c r="O37" i="10" s="1"/>
  <c r="O38" i="10" s="1"/>
  <c r="O39" i="10" s="1"/>
  <c r="O40" i="10" s="1"/>
  <c r="O41" i="10" s="1"/>
  <c r="O42" i="10" s="1"/>
  <c r="O43" i="10" s="1"/>
  <c r="O44" i="10" s="1"/>
  <c r="O45" i="10" s="1"/>
  <c r="O46" i="10" s="1"/>
  <c r="O47" i="10" s="1"/>
  <c r="O48" i="10" s="1"/>
  <c r="O49" i="10" s="1"/>
  <c r="O50" i="10" s="1"/>
  <c r="O51" i="10" s="1"/>
  <c r="O52" i="10" s="1"/>
  <c r="O53" i="10" s="1"/>
  <c r="AM4" i="11" l="1"/>
  <c r="N10" i="23"/>
  <c r="U10" i="23" s="1"/>
  <c r="AM10" i="23" s="1"/>
  <c r="AN10" i="23" s="1"/>
  <c r="J11" i="23" s="1"/>
  <c r="AL20" i="23"/>
  <c r="AL35" i="23"/>
  <c r="AP10" i="23"/>
  <c r="AR10" i="23" s="1"/>
  <c r="L11" i="23"/>
  <c r="AM4" i="12"/>
  <c r="AN4" i="12" s="1"/>
  <c r="J5" i="12" s="1"/>
  <c r="N5" i="12" s="1"/>
  <c r="U5" i="12" s="1"/>
  <c r="AM5" i="12" s="1"/>
  <c r="AN5" i="12" s="1"/>
  <c r="J6" i="12" s="1"/>
  <c r="N6" i="12" s="1"/>
  <c r="AR5" i="12"/>
  <c r="L6" i="12"/>
  <c r="L7" i="12" s="1"/>
  <c r="F94" i="13"/>
  <c r="F96" i="13" s="1"/>
  <c r="W26" i="12"/>
  <c r="AL6" i="12"/>
  <c r="W7" i="12"/>
  <c r="Z16" i="12"/>
  <c r="AL15" i="12"/>
  <c r="W12" i="12"/>
  <c r="W20" i="12"/>
  <c r="L6" i="11"/>
  <c r="L7" i="11" s="1"/>
  <c r="Z11" i="11"/>
  <c r="W14" i="11"/>
  <c r="W19" i="11"/>
  <c r="W7" i="11"/>
  <c r="W26" i="11"/>
  <c r="AP5" i="10"/>
  <c r="AP6" i="10"/>
  <c r="AP7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4" i="10"/>
  <c r="E4" i="9"/>
  <c r="Q28" i="10"/>
  <c r="Q29" i="10" s="1"/>
  <c r="Q30" i="10" s="1"/>
  <c r="Q31" i="10" s="1"/>
  <c r="Q32" i="10" s="1"/>
  <c r="Q33" i="10" s="1"/>
  <c r="Q34" i="10" s="1"/>
  <c r="Q35" i="10" s="1"/>
  <c r="Q36" i="10" s="1"/>
  <c r="Q37" i="10" s="1"/>
  <c r="Q38" i="10" s="1"/>
  <c r="Q39" i="10" s="1"/>
  <c r="Q40" i="10" s="1"/>
  <c r="Q41" i="10" s="1"/>
  <c r="Q42" i="10" s="1"/>
  <c r="Q43" i="10" s="1"/>
  <c r="Q44" i="10" s="1"/>
  <c r="Q45" i="10" s="1"/>
  <c r="Q46" i="10" s="1"/>
  <c r="Q47" i="10" s="1"/>
  <c r="Q48" i="10" s="1"/>
  <c r="Q49" i="10" s="1"/>
  <c r="Q50" i="10" s="1"/>
  <c r="Q51" i="10" s="1"/>
  <c r="Q52" i="10" s="1"/>
  <c r="Q53" i="10" s="1"/>
  <c r="E3" i="9"/>
  <c r="P28" i="10" s="1"/>
  <c r="P29" i="10" s="1"/>
  <c r="P30" i="10" s="1"/>
  <c r="P31" i="10" s="1"/>
  <c r="P32" i="10" s="1"/>
  <c r="P33" i="10" s="1"/>
  <c r="P34" i="10" s="1"/>
  <c r="P35" i="10" s="1"/>
  <c r="P36" i="10" s="1"/>
  <c r="P37" i="10" s="1"/>
  <c r="P38" i="10" s="1"/>
  <c r="P39" i="10" s="1"/>
  <c r="P40" i="10" s="1"/>
  <c r="P41" i="10" s="1"/>
  <c r="P42" i="10" s="1"/>
  <c r="P43" i="10" s="1"/>
  <c r="P44" i="10" s="1"/>
  <c r="P45" i="10" s="1"/>
  <c r="P46" i="10" s="1"/>
  <c r="P47" i="10" s="1"/>
  <c r="P48" i="10" s="1"/>
  <c r="P49" i="10" s="1"/>
  <c r="P50" i="10" s="1"/>
  <c r="P51" i="10" s="1"/>
  <c r="P52" i="10" s="1"/>
  <c r="P53" i="10" s="1"/>
  <c r="AJ8" i="10"/>
  <c r="AK3" i="10"/>
  <c r="AL3" i="10" s="1"/>
  <c r="AH4" i="10"/>
  <c r="AH5" i="10" s="1"/>
  <c r="AH6" i="10" s="1"/>
  <c r="AH7" i="10" s="1"/>
  <c r="AH8" i="10" s="1"/>
  <c r="AH9" i="10" s="1"/>
  <c r="AH10" i="10" s="1"/>
  <c r="AH11" i="10" s="1"/>
  <c r="AH12" i="10" s="1"/>
  <c r="AH13" i="10" s="1"/>
  <c r="AH14" i="10" s="1"/>
  <c r="AH15" i="10" s="1"/>
  <c r="AH16" i="10" s="1"/>
  <c r="AH17" i="10" s="1"/>
  <c r="AH18" i="10" s="1"/>
  <c r="AH19" i="10" s="1"/>
  <c r="AH20" i="10" s="1"/>
  <c r="AH21" i="10" s="1"/>
  <c r="AH22" i="10" s="1"/>
  <c r="AH23" i="10" s="1"/>
  <c r="Y10" i="10"/>
  <c r="Y11" i="10" s="1"/>
  <c r="Y12" i="10" s="1"/>
  <c r="Y13" i="10" s="1"/>
  <c r="Y14" i="10" s="1"/>
  <c r="Y16" i="10"/>
  <c r="Y17" i="10" s="1"/>
  <c r="Y18" i="10" s="1"/>
  <c r="Y19" i="10" s="1"/>
  <c r="Y20" i="10" s="1"/>
  <c r="Y22" i="10"/>
  <c r="Y23" i="10" s="1"/>
  <c r="Y24" i="10" s="1"/>
  <c r="Y25" i="10" s="1"/>
  <c r="Y26" i="10" s="1"/>
  <c r="W10" i="10"/>
  <c r="W11" i="10" s="1"/>
  <c r="W12" i="10" s="1"/>
  <c r="W13" i="10" s="1"/>
  <c r="W14" i="10" s="1"/>
  <c r="W16" i="10"/>
  <c r="W17" i="10" s="1"/>
  <c r="W18" i="10" s="1"/>
  <c r="W19" i="10" s="1"/>
  <c r="W20" i="10" s="1"/>
  <c r="W22" i="10"/>
  <c r="W23" i="10" s="1"/>
  <c r="W24" i="10" s="1"/>
  <c r="W25" i="10" s="1"/>
  <c r="W26" i="10" s="1"/>
  <c r="AG14" i="10"/>
  <c r="AG15" i="10"/>
  <c r="AG16" i="10"/>
  <c r="AG17" i="10"/>
  <c r="AG18" i="10"/>
  <c r="AG19" i="10"/>
  <c r="AG20" i="10"/>
  <c r="AG21" i="10"/>
  <c r="AG22" i="10"/>
  <c r="AG23" i="10"/>
  <c r="AG13" i="10"/>
  <c r="AF5" i="10"/>
  <c r="AF6" i="10" s="1"/>
  <c r="AF7" i="10" s="1"/>
  <c r="AF8" i="10" s="1"/>
  <c r="AF9" i="10" s="1"/>
  <c r="AD4" i="10"/>
  <c r="AD5" i="10" s="1"/>
  <c r="AD6" i="10" s="1"/>
  <c r="AD7" i="10" s="1"/>
  <c r="AD8" i="10" s="1"/>
  <c r="AD9" i="10" s="1"/>
  <c r="AD10" i="10" s="1"/>
  <c r="AD11" i="10" s="1"/>
  <c r="AD12" i="10" s="1"/>
  <c r="AD13" i="10" s="1"/>
  <c r="AD14" i="10" s="1"/>
  <c r="AD15" i="10" s="1"/>
  <c r="AD16" i="10" s="1"/>
  <c r="AD17" i="10" s="1"/>
  <c r="AD18" i="10" s="1"/>
  <c r="AD19" i="10" s="1"/>
  <c r="AD20" i="10" s="1"/>
  <c r="AD21" i="10" s="1"/>
  <c r="AD22" i="10" s="1"/>
  <c r="AD23" i="10" s="1"/>
  <c r="AD24" i="10" s="1"/>
  <c r="AD25" i="10" s="1"/>
  <c r="AD26" i="10" s="1"/>
  <c r="AD27" i="10" s="1"/>
  <c r="Y4" i="10"/>
  <c r="Y5" i="10" s="1"/>
  <c r="Y6" i="10" s="1"/>
  <c r="Y7" i="10" s="1"/>
  <c r="Y8" i="10" s="1"/>
  <c r="W5" i="10"/>
  <c r="M5" i="10"/>
  <c r="M6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J4" i="10"/>
  <c r="AE4" i="10"/>
  <c r="AE5" i="10" s="1"/>
  <c r="AE6" i="10" s="1"/>
  <c r="AE7" i="10" s="1"/>
  <c r="AE8" i="10" s="1"/>
  <c r="AE9" i="10" s="1"/>
  <c r="AE10" i="10" s="1"/>
  <c r="AE11" i="10" s="1"/>
  <c r="AE12" i="10" s="1"/>
  <c r="AE13" i="10" s="1"/>
  <c r="AE14" i="10" s="1"/>
  <c r="AE15" i="10" s="1"/>
  <c r="AE16" i="10" s="1"/>
  <c r="AE17" i="10" s="1"/>
  <c r="AE18" i="10" s="1"/>
  <c r="AE19" i="10" s="1"/>
  <c r="AE20" i="10" s="1"/>
  <c r="AE21" i="10" s="1"/>
  <c r="AE22" i="10" s="1"/>
  <c r="AE23" i="10" s="1"/>
  <c r="AE24" i="10" s="1"/>
  <c r="AE25" i="10" s="1"/>
  <c r="AE26" i="10" s="1"/>
  <c r="AE27" i="10" s="1"/>
  <c r="Z4" i="10"/>
  <c r="Z5" i="10" s="1"/>
  <c r="Z6" i="10" s="1"/>
  <c r="Z7" i="10" s="1"/>
  <c r="Z8" i="10" s="1"/>
  <c r="Z9" i="10" s="1"/>
  <c r="Z10" i="10" s="1"/>
  <c r="Z11" i="10" s="1"/>
  <c r="AR4" i="10" l="1"/>
  <c r="AR5" i="10" s="1"/>
  <c r="AR6" i="10" s="1"/>
  <c r="AR7" i="10" s="1"/>
  <c r="AR8" i="10" s="1"/>
  <c r="AR9" i="10" s="1"/>
  <c r="AR10" i="10" s="1"/>
  <c r="AR11" i="10" s="1"/>
  <c r="AR12" i="10" s="1"/>
  <c r="AR13" i="10" s="1"/>
  <c r="AR14" i="10" s="1"/>
  <c r="AR15" i="10" s="1"/>
  <c r="AR16" i="10" s="1"/>
  <c r="AR17" i="10" s="1"/>
  <c r="AR18" i="10" s="1"/>
  <c r="AR19" i="10" s="1"/>
  <c r="AR20" i="10" s="1"/>
  <c r="AR21" i="10" s="1"/>
  <c r="AR22" i="10" s="1"/>
  <c r="AR23" i="10" s="1"/>
  <c r="AR24" i="10" s="1"/>
  <c r="AR25" i="10" s="1"/>
  <c r="AR26" i="10" s="1"/>
  <c r="AR27" i="10" s="1"/>
  <c r="P28" i="23"/>
  <c r="P29" i="23" s="1"/>
  <c r="P30" i="23" s="1"/>
  <c r="P31" i="23" s="1"/>
  <c r="P32" i="23" s="1"/>
  <c r="P33" i="23" s="1"/>
  <c r="P34" i="23" s="1"/>
  <c r="P35" i="23" s="1"/>
  <c r="P36" i="23" s="1"/>
  <c r="P37" i="23" s="1"/>
  <c r="P38" i="23" s="1"/>
  <c r="P39" i="23" s="1"/>
  <c r="P40" i="23" s="1"/>
  <c r="P41" i="23" s="1"/>
  <c r="P42" i="23" s="1"/>
  <c r="P43" i="23" s="1"/>
  <c r="P44" i="23" s="1"/>
  <c r="P45" i="23" s="1"/>
  <c r="P46" i="23" s="1"/>
  <c r="P47" i="23" s="1"/>
  <c r="P48" i="23" s="1"/>
  <c r="P49" i="23" s="1"/>
  <c r="P50" i="23" s="1"/>
  <c r="P51" i="23" s="1"/>
  <c r="P52" i="23" s="1"/>
  <c r="P53" i="23" s="1"/>
  <c r="Q28" i="23"/>
  <c r="Q29" i="23" s="1"/>
  <c r="Q30" i="23" s="1"/>
  <c r="Q31" i="23" s="1"/>
  <c r="Q32" i="23" s="1"/>
  <c r="Q33" i="23" s="1"/>
  <c r="Q34" i="23" s="1"/>
  <c r="Q35" i="23" s="1"/>
  <c r="Q36" i="23" s="1"/>
  <c r="Q37" i="23" s="1"/>
  <c r="Q38" i="23" s="1"/>
  <c r="Q39" i="23" s="1"/>
  <c r="Q40" i="23" s="1"/>
  <c r="Q41" i="23" s="1"/>
  <c r="Q42" i="23" s="1"/>
  <c r="Q43" i="23" s="1"/>
  <c r="Q44" i="23" s="1"/>
  <c r="Q45" i="23" s="1"/>
  <c r="Q46" i="23" s="1"/>
  <c r="Q47" i="23" s="1"/>
  <c r="Q48" i="23" s="1"/>
  <c r="Q49" i="23" s="1"/>
  <c r="Q50" i="23" s="1"/>
  <c r="Q51" i="23" s="1"/>
  <c r="Q52" i="23" s="1"/>
  <c r="Q53" i="23" s="1"/>
  <c r="N11" i="23"/>
  <c r="U11" i="23" s="1"/>
  <c r="AM11" i="23" s="1"/>
  <c r="AN11" i="23" s="1"/>
  <c r="J12" i="23" s="1"/>
  <c r="AL21" i="23"/>
  <c r="AL36" i="23"/>
  <c r="AP11" i="23"/>
  <c r="AR11" i="23" s="1"/>
  <c r="L12" i="23"/>
  <c r="AP6" i="12"/>
  <c r="AR6" i="12" s="1"/>
  <c r="U6" i="12"/>
  <c r="AM6" i="12" s="1"/>
  <c r="AN6" i="12" s="1"/>
  <c r="J7" i="12" s="1"/>
  <c r="N7" i="12" s="1"/>
  <c r="U7" i="12" s="1"/>
  <c r="Q28" i="11"/>
  <c r="Q29" i="11" s="1"/>
  <c r="Q30" i="11" s="1"/>
  <c r="Q31" i="11" s="1"/>
  <c r="Q32" i="11" s="1"/>
  <c r="Q33" i="11" s="1"/>
  <c r="Q34" i="11" s="1"/>
  <c r="Q35" i="11" s="1"/>
  <c r="Q36" i="11" s="1"/>
  <c r="Q37" i="11" s="1"/>
  <c r="Q38" i="11" s="1"/>
  <c r="Q39" i="11" s="1"/>
  <c r="Q40" i="11" s="1"/>
  <c r="Q41" i="11" s="1"/>
  <c r="Q42" i="11" s="1"/>
  <c r="Q43" i="11" s="1"/>
  <c r="Q44" i="11" s="1"/>
  <c r="Q45" i="11" s="1"/>
  <c r="Q46" i="11" s="1"/>
  <c r="Q47" i="11" s="1"/>
  <c r="Q48" i="11" s="1"/>
  <c r="Q49" i="11" s="1"/>
  <c r="Q50" i="11" s="1"/>
  <c r="Q51" i="11" s="1"/>
  <c r="Q52" i="11" s="1"/>
  <c r="Q53" i="11" s="1"/>
  <c r="Q28" i="12"/>
  <c r="Q29" i="12" s="1"/>
  <c r="Q30" i="12" s="1"/>
  <c r="Q31" i="12" s="1"/>
  <c r="Q32" i="12" s="1"/>
  <c r="Q33" i="12" s="1"/>
  <c r="Q34" i="12" s="1"/>
  <c r="Q35" i="12" s="1"/>
  <c r="Q36" i="12" s="1"/>
  <c r="Q37" i="12" s="1"/>
  <c r="Q38" i="12" s="1"/>
  <c r="Q39" i="12" s="1"/>
  <c r="Q40" i="12" s="1"/>
  <c r="Q41" i="12" s="1"/>
  <c r="Q42" i="12" s="1"/>
  <c r="Q43" i="12" s="1"/>
  <c r="Q44" i="12" s="1"/>
  <c r="Q45" i="12" s="1"/>
  <c r="Q46" i="12" s="1"/>
  <c r="Q47" i="12" s="1"/>
  <c r="Q48" i="12" s="1"/>
  <c r="Q49" i="12" s="1"/>
  <c r="Q50" i="12" s="1"/>
  <c r="Q51" i="12" s="1"/>
  <c r="Q52" i="12" s="1"/>
  <c r="Q53" i="12" s="1"/>
  <c r="P28" i="12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28" i="1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P39" i="11" s="1"/>
  <c r="P40" i="11" s="1"/>
  <c r="P41" i="11" s="1"/>
  <c r="P42" i="11" s="1"/>
  <c r="P43" i="11" s="1"/>
  <c r="P44" i="11" s="1"/>
  <c r="P45" i="11" s="1"/>
  <c r="P46" i="11" s="1"/>
  <c r="P47" i="11" s="1"/>
  <c r="P48" i="11" s="1"/>
  <c r="P49" i="11" s="1"/>
  <c r="P50" i="11" s="1"/>
  <c r="P51" i="11" s="1"/>
  <c r="P52" i="11" s="1"/>
  <c r="P53" i="11" s="1"/>
  <c r="AP6" i="11"/>
  <c r="AR6" i="11" s="1"/>
  <c r="AP7" i="12"/>
  <c r="L8" i="12"/>
  <c r="W13" i="12"/>
  <c r="Z17" i="12"/>
  <c r="AL16" i="12"/>
  <c r="W8" i="12"/>
  <c r="AL8" i="12" s="1"/>
  <c r="W8" i="11"/>
  <c r="AL8" i="11" s="1"/>
  <c r="Z12" i="11"/>
  <c r="W20" i="11"/>
  <c r="L8" i="11"/>
  <c r="AP7" i="11"/>
  <c r="AO6" i="10"/>
  <c r="AK4" i="10"/>
  <c r="AQ4" i="10"/>
  <c r="AO5" i="10"/>
  <c r="Z12" i="10"/>
  <c r="Z13" i="10" s="1"/>
  <c r="Z14" i="10" s="1"/>
  <c r="AK5" i="10"/>
  <c r="AO7" i="10"/>
  <c r="W6" i="10"/>
  <c r="AK6" i="10" s="1"/>
  <c r="AR7" i="12" l="1"/>
  <c r="S28" i="10"/>
  <c r="S29" i="10" s="1"/>
  <c r="S30" i="10" s="1"/>
  <c r="S31" i="10" s="1"/>
  <c r="S32" i="10" s="1"/>
  <c r="S33" i="10" s="1"/>
  <c r="S34" i="10" s="1"/>
  <c r="S35" i="10" s="1"/>
  <c r="S36" i="10" s="1"/>
  <c r="S37" i="10" s="1"/>
  <c r="S38" i="10" s="1"/>
  <c r="S39" i="10" s="1"/>
  <c r="S40" i="10" s="1"/>
  <c r="S41" i="10" s="1"/>
  <c r="S42" i="10" s="1"/>
  <c r="S43" i="10" s="1"/>
  <c r="S44" i="10" s="1"/>
  <c r="S45" i="10" s="1"/>
  <c r="S46" i="10" s="1"/>
  <c r="S47" i="10" s="1"/>
  <c r="N12" i="23"/>
  <c r="U12" i="23" s="1"/>
  <c r="AM12" i="23" s="1"/>
  <c r="AN12" i="23" s="1"/>
  <c r="J13" i="23" s="1"/>
  <c r="AL37" i="23"/>
  <c r="AL22" i="23"/>
  <c r="L13" i="23"/>
  <c r="AP12" i="23"/>
  <c r="AR12" i="23" s="1"/>
  <c r="AR7" i="11"/>
  <c r="L9" i="12"/>
  <c r="AP8" i="12"/>
  <c r="AR8" i="12" s="1"/>
  <c r="W14" i="12"/>
  <c r="Z18" i="12"/>
  <c r="AL17" i="12"/>
  <c r="Z13" i="11"/>
  <c r="L9" i="11"/>
  <c r="U9" i="11" s="1"/>
  <c r="AP8" i="11"/>
  <c r="AQ5" i="10"/>
  <c r="AQ6" i="10" s="1"/>
  <c r="AQ7" i="10" s="1"/>
  <c r="Z15" i="10"/>
  <c r="AK14" i="10"/>
  <c r="N4" i="10"/>
  <c r="U4" i="10" s="1"/>
  <c r="AL4" i="10" s="1"/>
  <c r="AM4" i="10" s="1"/>
  <c r="W7" i="10"/>
  <c r="N13" i="23" l="1"/>
  <c r="U13" i="23" s="1"/>
  <c r="AM13" i="23" s="1"/>
  <c r="AN13" i="23" s="1"/>
  <c r="J14" i="23" s="1"/>
  <c r="AL38" i="23"/>
  <c r="AP13" i="23"/>
  <c r="AR13" i="23" s="1"/>
  <c r="L14" i="23"/>
  <c r="AR8" i="11"/>
  <c r="L10" i="12"/>
  <c r="U9" i="12"/>
  <c r="AP9" i="12"/>
  <c r="AR9" i="12" s="1"/>
  <c r="Z19" i="12"/>
  <c r="AL18" i="12"/>
  <c r="Z14" i="11"/>
  <c r="AL14" i="11" s="1"/>
  <c r="AP9" i="11"/>
  <c r="L10" i="11"/>
  <c r="J5" i="10"/>
  <c r="U9" i="10"/>
  <c r="AO8" i="10"/>
  <c r="AQ8" i="10" s="1"/>
  <c r="Z16" i="10"/>
  <c r="AK15" i="10"/>
  <c r="W8" i="10"/>
  <c r="AK8" i="10" s="1"/>
  <c r="N14" i="23" l="1"/>
  <c r="U14" i="23" s="1"/>
  <c r="AL39" i="23"/>
  <c r="AL24" i="23"/>
  <c r="L15" i="23"/>
  <c r="AP14" i="23"/>
  <c r="AR14" i="23" s="1"/>
  <c r="AR9" i="11"/>
  <c r="L11" i="12"/>
  <c r="AP10" i="12"/>
  <c r="AR10" i="12" s="1"/>
  <c r="Z20" i="12"/>
  <c r="AL19" i="12"/>
  <c r="Z15" i="11"/>
  <c r="AL15" i="11" s="1"/>
  <c r="L11" i="11"/>
  <c r="AP10" i="11"/>
  <c r="AO9" i="10"/>
  <c r="AQ9" i="10" s="1"/>
  <c r="Z17" i="10"/>
  <c r="AK16" i="10"/>
  <c r="N5" i="10"/>
  <c r="U5" i="10" s="1"/>
  <c r="AR10" i="11" l="1"/>
  <c r="AM14" i="23"/>
  <c r="AN14" i="23" s="1"/>
  <c r="J15" i="23" s="1"/>
  <c r="AL25" i="23"/>
  <c r="AL40" i="23"/>
  <c r="AP15" i="23"/>
  <c r="AR15" i="23" s="1"/>
  <c r="U15" i="23"/>
  <c r="AM15" i="23" s="1"/>
  <c r="L16" i="23"/>
  <c r="AP11" i="12"/>
  <c r="AR11" i="12" s="1"/>
  <c r="L12" i="12"/>
  <c r="Z21" i="12"/>
  <c r="AL20" i="12"/>
  <c r="Z16" i="11"/>
  <c r="AL16" i="11" s="1"/>
  <c r="AP11" i="11"/>
  <c r="AR11" i="11" s="1"/>
  <c r="L12" i="11"/>
  <c r="AO10" i="10"/>
  <c r="AQ10" i="10" s="1"/>
  <c r="Z18" i="10"/>
  <c r="AK17" i="10"/>
  <c r="AL5" i="10"/>
  <c r="AM5" i="10" s="1"/>
  <c r="J6" i="10" s="1"/>
  <c r="N6" i="10" s="1"/>
  <c r="U6" i="10" s="1"/>
  <c r="AN15" i="23" l="1"/>
  <c r="J16" i="23" s="1"/>
  <c r="N16" i="23" s="1"/>
  <c r="U16" i="23" s="1"/>
  <c r="AM16" i="23" s="1"/>
  <c r="AN16" i="23" s="1"/>
  <c r="J17" i="23" s="1"/>
  <c r="AL41" i="23"/>
  <c r="AL27" i="23"/>
  <c r="AL26" i="23"/>
  <c r="AP16" i="23"/>
  <c r="AR16" i="23" s="1"/>
  <c r="L17" i="23"/>
  <c r="L13" i="12"/>
  <c r="AP12" i="12"/>
  <c r="AR12" i="12" s="1"/>
  <c r="Z22" i="12"/>
  <c r="AL21" i="12"/>
  <c r="AP12" i="11"/>
  <c r="AR12" i="11" s="1"/>
  <c r="L13" i="11"/>
  <c r="Z17" i="11"/>
  <c r="AL17" i="11" s="1"/>
  <c r="AO11" i="10"/>
  <c r="AQ11" i="10" s="1"/>
  <c r="Z19" i="10"/>
  <c r="AK18" i="10"/>
  <c r="AL6" i="10"/>
  <c r="AM6" i="10" s="1"/>
  <c r="J7" i="10" s="1"/>
  <c r="N7" i="10" s="1"/>
  <c r="U7" i="10" s="1"/>
  <c r="N17" i="23" l="1"/>
  <c r="U17" i="23" s="1"/>
  <c r="AM17" i="23" s="1"/>
  <c r="AN17" i="23" s="1"/>
  <c r="J18" i="23" s="1"/>
  <c r="AL42" i="23"/>
  <c r="AP17" i="23"/>
  <c r="AR17" i="23" s="1"/>
  <c r="L18" i="23"/>
  <c r="AP13" i="12"/>
  <c r="AR13" i="12" s="1"/>
  <c r="L14" i="12"/>
  <c r="Z23" i="12"/>
  <c r="AL22" i="12"/>
  <c r="Z18" i="11"/>
  <c r="AL18" i="11" s="1"/>
  <c r="AP13" i="11"/>
  <c r="AR13" i="11" s="1"/>
  <c r="L14" i="11"/>
  <c r="AO12" i="10"/>
  <c r="AQ12" i="10" s="1"/>
  <c r="Z20" i="10"/>
  <c r="AK19" i="10"/>
  <c r="N18" i="23" l="1"/>
  <c r="U18" i="23" s="1"/>
  <c r="AM18" i="23" s="1"/>
  <c r="AN18" i="23" s="1"/>
  <c r="J19" i="23" s="1"/>
  <c r="AP18" i="23"/>
  <c r="AR18" i="23" s="1"/>
  <c r="L19" i="23"/>
  <c r="AL43" i="23"/>
  <c r="AP14" i="12"/>
  <c r="AR14" i="12" s="1"/>
  <c r="L15" i="12"/>
  <c r="Z24" i="12"/>
  <c r="Z19" i="11"/>
  <c r="AL19" i="11" s="1"/>
  <c r="AP14" i="11"/>
  <c r="AR14" i="11" s="1"/>
  <c r="L15" i="11"/>
  <c r="U15" i="11" s="1"/>
  <c r="AO13" i="10"/>
  <c r="AQ13" i="10" s="1"/>
  <c r="Z21" i="10"/>
  <c r="AK20" i="10"/>
  <c r="N19" i="23" l="1"/>
  <c r="U19" i="23" s="1"/>
  <c r="AM19" i="23" s="1"/>
  <c r="AN19" i="23" s="1"/>
  <c r="J20" i="23" s="1"/>
  <c r="AL44" i="23"/>
  <c r="L20" i="23"/>
  <c r="AP19" i="23"/>
  <c r="AR19" i="23" s="1"/>
  <c r="Z25" i="12"/>
  <c r="AL24" i="12"/>
  <c r="U15" i="12"/>
  <c r="AM15" i="12" s="1"/>
  <c r="AP15" i="12"/>
  <c r="AR15" i="12" s="1"/>
  <c r="L16" i="12"/>
  <c r="L16" i="11"/>
  <c r="AP15" i="11"/>
  <c r="AR15" i="11" s="1"/>
  <c r="Z20" i="11"/>
  <c r="AL20" i="11" s="1"/>
  <c r="U15" i="10"/>
  <c r="AO14" i="10"/>
  <c r="AQ14" i="10" s="1"/>
  <c r="Z22" i="10"/>
  <c r="AK21" i="10"/>
  <c r="N20" i="23" l="1"/>
  <c r="U20" i="23" s="1"/>
  <c r="AM20" i="23" s="1"/>
  <c r="AN20" i="23" s="1"/>
  <c r="J21" i="23" s="1"/>
  <c r="AP20" i="23"/>
  <c r="AR20" i="23" s="1"/>
  <c r="L21" i="23"/>
  <c r="AL45" i="23"/>
  <c r="Z26" i="12"/>
  <c r="AL25" i="12"/>
  <c r="L17" i="12"/>
  <c r="AP16" i="12"/>
  <c r="AR16" i="12" s="1"/>
  <c r="L17" i="11"/>
  <c r="AP16" i="11"/>
  <c r="AR16" i="11" s="1"/>
  <c r="Z21" i="11"/>
  <c r="AL21" i="11" s="1"/>
  <c r="AO15" i="10"/>
  <c r="AQ15" i="10" s="1"/>
  <c r="AL15" i="10"/>
  <c r="Z23" i="10"/>
  <c r="AK22" i="10"/>
  <c r="N21" i="23" l="1"/>
  <c r="U21" i="23" s="1"/>
  <c r="AM21" i="23" s="1"/>
  <c r="AN21" i="23" s="1"/>
  <c r="J22" i="23" s="1"/>
  <c r="AL46" i="23"/>
  <c r="L22" i="23"/>
  <c r="AP21" i="23"/>
  <c r="AR21" i="23" s="1"/>
  <c r="AP17" i="12"/>
  <c r="AR17" i="12" s="1"/>
  <c r="L18" i="12"/>
  <c r="Z27" i="12"/>
  <c r="AL27" i="12" s="1"/>
  <c r="AL26" i="12"/>
  <c r="Z22" i="11"/>
  <c r="AL22" i="11" s="1"/>
  <c r="L18" i="11"/>
  <c r="AP17" i="11"/>
  <c r="AR17" i="11" s="1"/>
  <c r="AO16" i="10"/>
  <c r="AQ16" i="10" s="1"/>
  <c r="Z24" i="10"/>
  <c r="N22" i="23" l="1"/>
  <c r="U22" i="23" s="1"/>
  <c r="AM22" i="23" s="1"/>
  <c r="AN22" i="23" s="1"/>
  <c r="J23" i="23" s="1"/>
  <c r="AP22" i="23"/>
  <c r="AR22" i="23" s="1"/>
  <c r="L23" i="23"/>
  <c r="AL47" i="23"/>
  <c r="L19" i="12"/>
  <c r="AP18" i="12"/>
  <c r="AR18" i="12" s="1"/>
  <c r="Z23" i="11"/>
  <c r="L19" i="11"/>
  <c r="AP18" i="11"/>
  <c r="AR18" i="11" s="1"/>
  <c r="AO17" i="10"/>
  <c r="AQ17" i="10" s="1"/>
  <c r="Z25" i="10"/>
  <c r="AK24" i="10"/>
  <c r="N23" i="23" l="1"/>
  <c r="U23" i="23" s="1"/>
  <c r="AL48" i="23"/>
  <c r="AP23" i="23"/>
  <c r="AR23" i="23" s="1"/>
  <c r="L24" i="23"/>
  <c r="AP19" i="12"/>
  <c r="AR19" i="12" s="1"/>
  <c r="L20" i="12"/>
  <c r="AP19" i="11"/>
  <c r="AR19" i="11" s="1"/>
  <c r="L20" i="11"/>
  <c r="Z24" i="11"/>
  <c r="AL24" i="11" s="1"/>
  <c r="AO18" i="10"/>
  <c r="AQ18" i="10" s="1"/>
  <c r="Z26" i="10"/>
  <c r="AK25" i="10"/>
  <c r="AP24" i="23" l="1"/>
  <c r="AR24" i="23" s="1"/>
  <c r="L25" i="23"/>
  <c r="AL49" i="23"/>
  <c r="L21" i="12"/>
  <c r="AP20" i="12"/>
  <c r="AR20" i="12" s="1"/>
  <c r="AP20" i="11"/>
  <c r="AR20" i="11" s="1"/>
  <c r="L21" i="11"/>
  <c r="Z25" i="11"/>
  <c r="AL25" i="11" s="1"/>
  <c r="AO19" i="10"/>
  <c r="AQ19" i="10" s="1"/>
  <c r="Z27" i="10"/>
  <c r="AK26" i="10"/>
  <c r="AL50" i="23" l="1"/>
  <c r="AP25" i="23"/>
  <c r="AR25" i="23" s="1"/>
  <c r="L26" i="23"/>
  <c r="AP21" i="12"/>
  <c r="AR21" i="12" s="1"/>
  <c r="L22" i="12"/>
  <c r="Z26" i="11"/>
  <c r="AL26" i="11" s="1"/>
  <c r="L22" i="11"/>
  <c r="AP21" i="11"/>
  <c r="AR21" i="11" s="1"/>
  <c r="AO20" i="10"/>
  <c r="AQ20" i="10" s="1"/>
  <c r="AK27" i="10"/>
  <c r="AL51" i="23" l="1"/>
  <c r="AP26" i="23"/>
  <c r="AR26" i="23" s="1"/>
  <c r="L27" i="23"/>
  <c r="L23" i="12"/>
  <c r="AP22" i="12"/>
  <c r="AR22" i="12" s="1"/>
  <c r="Z27" i="11"/>
  <c r="AL27" i="11" s="1"/>
  <c r="L23" i="11"/>
  <c r="AP22" i="11"/>
  <c r="AR22" i="11" s="1"/>
  <c r="AO21" i="10"/>
  <c r="AQ21" i="10" s="1"/>
  <c r="AP27" i="23" l="1"/>
  <c r="AR27" i="23" s="1"/>
  <c r="R28" i="23" s="1"/>
  <c r="R29" i="23" s="1"/>
  <c r="R30" i="23" s="1"/>
  <c r="R31" i="23" s="1"/>
  <c r="R32" i="23" s="1"/>
  <c r="R33" i="23" s="1"/>
  <c r="R34" i="23" s="1"/>
  <c r="R35" i="23" s="1"/>
  <c r="R36" i="23" s="1"/>
  <c r="R37" i="23" s="1"/>
  <c r="R38" i="23" s="1"/>
  <c r="R39" i="23" s="1"/>
  <c r="R40" i="23" s="1"/>
  <c r="R41" i="23" s="1"/>
  <c r="R42" i="23" s="1"/>
  <c r="R43" i="23" s="1"/>
  <c r="R44" i="23" s="1"/>
  <c r="R45" i="23" s="1"/>
  <c r="R46" i="23" s="1"/>
  <c r="R47" i="23" s="1"/>
  <c r="AL53" i="23"/>
  <c r="AL52" i="23"/>
  <c r="AP23" i="12"/>
  <c r="AR23" i="12" s="1"/>
  <c r="L24" i="12"/>
  <c r="AP23" i="11"/>
  <c r="AR23" i="11" s="1"/>
  <c r="L24" i="11"/>
  <c r="AO22" i="10"/>
  <c r="AQ22" i="10" s="1"/>
  <c r="L25" i="12" l="1"/>
  <c r="AP24" i="12"/>
  <c r="AR24" i="12" s="1"/>
  <c r="L25" i="11"/>
  <c r="AP24" i="11"/>
  <c r="AR24" i="11" s="1"/>
  <c r="AO23" i="10"/>
  <c r="AQ23" i="10" s="1"/>
  <c r="AP25" i="12" l="1"/>
  <c r="AR25" i="12" s="1"/>
  <c r="L26" i="12"/>
  <c r="L26" i="11"/>
  <c r="AP25" i="11"/>
  <c r="AR25" i="11" s="1"/>
  <c r="AO24" i="10"/>
  <c r="AQ24" i="10" s="1"/>
  <c r="AP26" i="12" l="1"/>
  <c r="AR26" i="12" s="1"/>
  <c r="L27" i="12"/>
  <c r="AP26" i="11"/>
  <c r="AR26" i="11" s="1"/>
  <c r="L27" i="11"/>
  <c r="AO25" i="10"/>
  <c r="AQ25" i="10" s="1"/>
  <c r="AP27" i="12" l="1"/>
  <c r="AR27" i="12" s="1"/>
  <c r="R28" i="12" s="1"/>
  <c r="R29" i="12" s="1"/>
  <c r="R30" i="12" s="1"/>
  <c r="R31" i="12" s="1"/>
  <c r="R32" i="12" s="1"/>
  <c r="R33" i="12" s="1"/>
  <c r="R34" i="12" s="1"/>
  <c r="R35" i="12" s="1"/>
  <c r="R36" i="12" s="1"/>
  <c r="R37" i="12" s="1"/>
  <c r="R38" i="12" s="1"/>
  <c r="R39" i="12" s="1"/>
  <c r="R40" i="12" s="1"/>
  <c r="R41" i="12" s="1"/>
  <c r="R42" i="12" s="1"/>
  <c r="R43" i="12" s="1"/>
  <c r="R44" i="12" s="1"/>
  <c r="R45" i="12" s="1"/>
  <c r="R46" i="12" s="1"/>
  <c r="R47" i="12" s="1"/>
  <c r="AP27" i="11"/>
  <c r="AR27" i="11" s="1"/>
  <c r="R28" i="11" s="1"/>
  <c r="R29" i="11" s="1"/>
  <c r="R30" i="11" s="1"/>
  <c r="R31" i="11" s="1"/>
  <c r="R32" i="11" s="1"/>
  <c r="R33" i="11" s="1"/>
  <c r="R34" i="11" s="1"/>
  <c r="R35" i="11" s="1"/>
  <c r="R36" i="11" s="1"/>
  <c r="R37" i="11" s="1"/>
  <c r="R38" i="11" s="1"/>
  <c r="R39" i="11" s="1"/>
  <c r="R40" i="11" s="1"/>
  <c r="R41" i="11" s="1"/>
  <c r="R42" i="11" s="1"/>
  <c r="R43" i="11" s="1"/>
  <c r="R44" i="11" s="1"/>
  <c r="R45" i="11" s="1"/>
  <c r="R46" i="11" s="1"/>
  <c r="R47" i="11" s="1"/>
  <c r="AO27" i="10"/>
  <c r="AO26" i="10"/>
  <c r="AQ26" i="10" s="1"/>
  <c r="AQ27" i="10" l="1"/>
  <c r="R28" i="10" l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R45" i="10" s="1"/>
  <c r="R46" i="10" s="1"/>
  <c r="R47" i="10" s="1"/>
  <c r="D4" i="8" l="1"/>
  <c r="D5" i="8"/>
  <c r="D8" i="8"/>
  <c r="D9" i="8"/>
  <c r="D10" i="8"/>
  <c r="D11" i="8"/>
  <c r="D13" i="8"/>
  <c r="AL14" i="12" s="1"/>
  <c r="D14" i="8"/>
  <c r="D16" i="8"/>
  <c r="D17" i="8"/>
  <c r="D18" i="8"/>
  <c r="F24" i="2"/>
  <c r="I20" i="2"/>
  <c r="AJ13" i="12" l="1"/>
  <c r="AL13" i="12" s="1"/>
  <c r="AJ13" i="11"/>
  <c r="AL13" i="11" s="1"/>
  <c r="AJ13" i="10"/>
  <c r="AK13" i="10" s="1"/>
  <c r="AJ10" i="12"/>
  <c r="AL10" i="12" s="1"/>
  <c r="AJ10" i="11"/>
  <c r="AL10" i="11" s="1"/>
  <c r="AJ10" i="10"/>
  <c r="AK10" i="10" s="1"/>
  <c r="AK7" i="10"/>
  <c r="AL7" i="10" s="1"/>
  <c r="AM7" i="10" s="1"/>
  <c r="J8" i="10" s="1"/>
  <c r="AJ7" i="12"/>
  <c r="AL7" i="12" s="1"/>
  <c r="AM7" i="12" s="1"/>
  <c r="AN7" i="12" s="1"/>
  <c r="J8" i="12" s="1"/>
  <c r="N8" i="12" s="1"/>
  <c r="U8" i="12" s="1"/>
  <c r="AM8" i="12" s="1"/>
  <c r="AN8" i="12" s="1"/>
  <c r="J9" i="12" s="1"/>
  <c r="AJ7" i="11"/>
  <c r="AL7" i="11" s="1"/>
  <c r="AJ7" i="10"/>
  <c r="AJ12" i="12"/>
  <c r="AL12" i="12" s="1"/>
  <c r="AJ12" i="11"/>
  <c r="AL12" i="11" s="1"/>
  <c r="AJ12" i="10"/>
  <c r="AK12" i="10" s="1"/>
  <c r="AJ9" i="12"/>
  <c r="AL9" i="12" s="1"/>
  <c r="AM9" i="12" s="1"/>
  <c r="AJ9" i="11"/>
  <c r="AL9" i="11" s="1"/>
  <c r="AJ9" i="10"/>
  <c r="AK9" i="10" s="1"/>
  <c r="AL9" i="10" s="1"/>
  <c r="AJ23" i="23"/>
  <c r="AL23" i="23" s="1"/>
  <c r="AM23" i="23" s="1"/>
  <c r="AN23" i="23" s="1"/>
  <c r="J24" i="23" s="1"/>
  <c r="N24" i="23" s="1"/>
  <c r="U24" i="23" s="1"/>
  <c r="AM24" i="23" s="1"/>
  <c r="AN24" i="23" s="1"/>
  <c r="J25" i="23" s="1"/>
  <c r="N25" i="23" s="1"/>
  <c r="U25" i="23" s="1"/>
  <c r="AM25" i="23" s="1"/>
  <c r="AN25" i="23" s="1"/>
  <c r="J26" i="23" s="1"/>
  <c r="N26" i="23" s="1"/>
  <c r="U26" i="23" s="1"/>
  <c r="AM26" i="23" s="1"/>
  <c r="AN26" i="23" s="1"/>
  <c r="J27" i="23" s="1"/>
  <c r="N27" i="23" s="1"/>
  <c r="U27" i="23" s="1"/>
  <c r="AM27" i="23" s="1"/>
  <c r="AN27" i="23" s="1"/>
  <c r="J28" i="23" s="1"/>
  <c r="N28" i="23" s="1"/>
  <c r="U28" i="23" s="1"/>
  <c r="AM28" i="23" s="1"/>
  <c r="AN28" i="23" s="1"/>
  <c r="J29" i="23" s="1"/>
  <c r="N29" i="23" s="1"/>
  <c r="U29" i="23" s="1"/>
  <c r="AM29" i="23" s="1"/>
  <c r="AN29" i="23" s="1"/>
  <c r="J30" i="23" s="1"/>
  <c r="N30" i="23" s="1"/>
  <c r="U30" i="23" s="1"/>
  <c r="AM30" i="23" s="1"/>
  <c r="AN30" i="23" s="1"/>
  <c r="J31" i="23" s="1"/>
  <c r="N31" i="23" s="1"/>
  <c r="U31" i="23" s="1"/>
  <c r="AM31" i="23" s="1"/>
  <c r="AN31" i="23" s="1"/>
  <c r="J32" i="23" s="1"/>
  <c r="N32" i="23" s="1"/>
  <c r="U32" i="23" s="1"/>
  <c r="AM32" i="23" s="1"/>
  <c r="AN32" i="23" s="1"/>
  <c r="J33" i="23" s="1"/>
  <c r="N33" i="23" s="1"/>
  <c r="U33" i="23" s="1"/>
  <c r="AM33" i="23" s="1"/>
  <c r="AN33" i="23" s="1"/>
  <c r="J34" i="23" s="1"/>
  <c r="N34" i="23" s="1"/>
  <c r="U34" i="23" s="1"/>
  <c r="AM34" i="23" s="1"/>
  <c r="AN34" i="23" s="1"/>
  <c r="J35" i="23" s="1"/>
  <c r="N35" i="23" s="1"/>
  <c r="U35" i="23" s="1"/>
  <c r="AM35" i="23" s="1"/>
  <c r="AN35" i="23" s="1"/>
  <c r="J36" i="23" s="1"/>
  <c r="AJ23" i="11"/>
  <c r="AL23" i="11" s="1"/>
  <c r="AJ23" i="12"/>
  <c r="AL23" i="12" s="1"/>
  <c r="AJ23" i="10"/>
  <c r="AK23" i="10" s="1"/>
  <c r="AJ11" i="12"/>
  <c r="AL11" i="12" s="1"/>
  <c r="AJ11" i="11"/>
  <c r="AL11" i="11" s="1"/>
  <c r="AJ11" i="10"/>
  <c r="AK11" i="10" s="1"/>
  <c r="AI28" i="12"/>
  <c r="AI28" i="11"/>
  <c r="AI28" i="10"/>
  <c r="N8" i="10"/>
  <c r="U8" i="10" s="1"/>
  <c r="L24" i="2"/>
  <c r="L14" i="2"/>
  <c r="L9" i="2"/>
  <c r="F28" i="2"/>
  <c r="F9" i="2"/>
  <c r="I10" i="2"/>
  <c r="I13" i="2" s="1"/>
  <c r="F7" i="2"/>
  <c r="E12" i="1"/>
  <c r="E14" i="1" s="1"/>
  <c r="B16" i="1"/>
  <c r="AN9" i="12" l="1"/>
  <c r="J10" i="12" s="1"/>
  <c r="N10" i="12" s="1"/>
  <c r="U10" i="12" s="1"/>
  <c r="AM10" i="12" s="1"/>
  <c r="AN10" i="12" s="1"/>
  <c r="J11" i="12" s="1"/>
  <c r="N11" i="12" s="1"/>
  <c r="U11" i="12" s="1"/>
  <c r="AM11" i="12" s="1"/>
  <c r="AN11" i="12" s="1"/>
  <c r="J12" i="12" s="1"/>
  <c r="N12" i="12" s="1"/>
  <c r="U12" i="12" s="1"/>
  <c r="AM12" i="12" s="1"/>
  <c r="AN12" i="12" s="1"/>
  <c r="J13" i="12" s="1"/>
  <c r="N13" i="12" s="1"/>
  <c r="U13" i="12" s="1"/>
  <c r="AM13" i="12" s="1"/>
  <c r="AN13" i="12" s="1"/>
  <c r="J14" i="12" s="1"/>
  <c r="N14" i="12" s="1"/>
  <c r="U14" i="12" s="1"/>
  <c r="AM14" i="12" s="1"/>
  <c r="AN14" i="12" s="1"/>
  <c r="J15" i="12" s="1"/>
  <c r="AN15" i="12" s="1"/>
  <c r="J16" i="12" s="1"/>
  <c r="N16" i="12" s="1"/>
  <c r="U16" i="12" s="1"/>
  <c r="AM16" i="12" s="1"/>
  <c r="AN16" i="12" s="1"/>
  <c r="J17" i="12" s="1"/>
  <c r="N17" i="12" s="1"/>
  <c r="U17" i="12" s="1"/>
  <c r="AM17" i="12" s="1"/>
  <c r="AN17" i="12" s="1"/>
  <c r="J18" i="12" s="1"/>
  <c r="N18" i="12" s="1"/>
  <c r="U18" i="12" s="1"/>
  <c r="AM18" i="12" s="1"/>
  <c r="AN18" i="12" s="1"/>
  <c r="J19" i="12" s="1"/>
  <c r="N19" i="12" s="1"/>
  <c r="U19" i="12" s="1"/>
  <c r="AM19" i="12" s="1"/>
  <c r="AN19" i="12" s="1"/>
  <c r="J20" i="12" s="1"/>
  <c r="N20" i="12" s="1"/>
  <c r="U20" i="12" s="1"/>
  <c r="AM20" i="12" s="1"/>
  <c r="AN20" i="12" s="1"/>
  <c r="J21" i="12" s="1"/>
  <c r="N21" i="12" s="1"/>
  <c r="U21" i="12" s="1"/>
  <c r="AM21" i="12" s="1"/>
  <c r="AN21" i="12" s="1"/>
  <c r="J22" i="12" s="1"/>
  <c r="N22" i="12" s="1"/>
  <c r="U22" i="12" s="1"/>
  <c r="AM22" i="12" s="1"/>
  <c r="AN22" i="12" s="1"/>
  <c r="J23" i="12" s="1"/>
  <c r="N23" i="12" s="1"/>
  <c r="U23" i="12" s="1"/>
  <c r="AM23" i="12" s="1"/>
  <c r="AN23" i="12" s="1"/>
  <c r="J24" i="12" s="1"/>
  <c r="N24" i="12" s="1"/>
  <c r="U24" i="12" s="1"/>
  <c r="AM24" i="12" s="1"/>
  <c r="AN24" i="12" s="1"/>
  <c r="J25" i="12" s="1"/>
  <c r="N25" i="12" s="1"/>
  <c r="U25" i="12" s="1"/>
  <c r="AM25" i="12" s="1"/>
  <c r="AN25" i="12" s="1"/>
  <c r="J26" i="12" s="1"/>
  <c r="N26" i="12" s="1"/>
  <c r="U26" i="12" s="1"/>
  <c r="AM26" i="12" s="1"/>
  <c r="AN26" i="12" s="1"/>
  <c r="J27" i="12" s="1"/>
  <c r="N27" i="12" s="1"/>
  <c r="U27" i="12" s="1"/>
  <c r="AM27" i="12" s="1"/>
  <c r="AN27" i="12" s="1"/>
  <c r="J28" i="12" s="1"/>
  <c r="N28" i="12" s="1"/>
  <c r="U28" i="12" s="1"/>
  <c r="N36" i="23"/>
  <c r="U36" i="23" s="1"/>
  <c r="AM36" i="23" s="1"/>
  <c r="AN36" i="23" s="1"/>
  <c r="J37" i="23" s="1"/>
  <c r="AL28" i="11"/>
  <c r="AI29" i="11"/>
  <c r="AK28" i="10"/>
  <c r="AI29" i="10"/>
  <c r="AL28" i="12"/>
  <c r="AI29" i="12"/>
  <c r="AL8" i="10"/>
  <c r="AM8" i="10" s="1"/>
  <c r="J9" i="10" s="1"/>
  <c r="AM9" i="10" s="1"/>
  <c r="J10" i="10" s="1"/>
  <c r="AM28" i="12" l="1"/>
  <c r="AN28" i="12" s="1"/>
  <c r="J29" i="12" s="1"/>
  <c r="N29" i="12" s="1"/>
  <c r="U29" i="12" s="1"/>
  <c r="N37" i="23"/>
  <c r="U37" i="23" s="1"/>
  <c r="AM37" i="23" s="1"/>
  <c r="AN37" i="23" s="1"/>
  <c r="J38" i="23" s="1"/>
  <c r="AL29" i="12"/>
  <c r="AI30" i="12"/>
  <c r="AK29" i="10"/>
  <c r="AI30" i="10"/>
  <c r="AI30" i="11"/>
  <c r="AL29" i="11"/>
  <c r="N10" i="10"/>
  <c r="U10" i="10" s="1"/>
  <c r="AL10" i="10" s="1"/>
  <c r="AM10" i="10" s="1"/>
  <c r="J11" i="10" s="1"/>
  <c r="AM29" i="12" l="1"/>
  <c r="AN29" i="12" s="1"/>
  <c r="J30" i="12" s="1"/>
  <c r="N30" i="12" s="1"/>
  <c r="U30" i="12" s="1"/>
  <c r="N38" i="23"/>
  <c r="U38" i="23" s="1"/>
  <c r="AM38" i="23" s="1"/>
  <c r="AN38" i="23" s="1"/>
  <c r="J39" i="23" s="1"/>
  <c r="AL30" i="11"/>
  <c r="AI31" i="11"/>
  <c r="AI31" i="12"/>
  <c r="AL30" i="12"/>
  <c r="AM30" i="12" s="1"/>
  <c r="AN30" i="12" s="1"/>
  <c r="J31" i="12" s="1"/>
  <c r="N31" i="12" s="1"/>
  <c r="U31" i="12" s="1"/>
  <c r="AI31" i="10"/>
  <c r="AK30" i="10"/>
  <c r="N11" i="10"/>
  <c r="U11" i="10" s="1"/>
  <c r="AL11" i="10" s="1"/>
  <c r="AM11" i="10" s="1"/>
  <c r="J12" i="10" s="1"/>
  <c r="N12" i="10" s="1"/>
  <c r="U12" i="10" s="1"/>
  <c r="AL12" i="10" s="1"/>
  <c r="AM12" i="10" s="1"/>
  <c r="J13" i="10" s="1"/>
  <c r="N13" i="10" s="1"/>
  <c r="U13" i="10" s="1"/>
  <c r="AL13" i="10" s="1"/>
  <c r="AM13" i="10" s="1"/>
  <c r="J14" i="10" s="1"/>
  <c r="N39" i="23" l="1"/>
  <c r="U39" i="23" s="1"/>
  <c r="AM39" i="23" s="1"/>
  <c r="AN39" i="23" s="1"/>
  <c r="J40" i="23" s="1"/>
  <c r="AI32" i="10"/>
  <c r="AK31" i="10"/>
  <c r="AL31" i="11"/>
  <c r="AI32" i="11"/>
  <c r="AI32" i="12"/>
  <c r="AL31" i="12"/>
  <c r="AM31" i="12" s="1"/>
  <c r="AN31" i="12" s="1"/>
  <c r="J32" i="12" s="1"/>
  <c r="N32" i="12" s="1"/>
  <c r="U32" i="12" s="1"/>
  <c r="N14" i="10"/>
  <c r="U14" i="10" s="1"/>
  <c r="AL14" i="10" s="1"/>
  <c r="AM14" i="10" s="1"/>
  <c r="J15" i="10" s="1"/>
  <c r="AM15" i="10" s="1"/>
  <c r="J16" i="10" s="1"/>
  <c r="N40" i="23" l="1"/>
  <c r="U40" i="23" s="1"/>
  <c r="AM40" i="23" s="1"/>
  <c r="AN40" i="23" s="1"/>
  <c r="J41" i="23" s="1"/>
  <c r="AL32" i="12"/>
  <c r="AM32" i="12" s="1"/>
  <c r="AN32" i="12" s="1"/>
  <c r="J33" i="12" s="1"/>
  <c r="N33" i="12" s="1"/>
  <c r="U33" i="12" s="1"/>
  <c r="AI33" i="12"/>
  <c r="AL32" i="11"/>
  <c r="AI33" i="11"/>
  <c r="AI33" i="10"/>
  <c r="AK32" i="10"/>
  <c r="N16" i="10"/>
  <c r="U16" i="10" s="1"/>
  <c r="AL16" i="10" s="1"/>
  <c r="AM16" i="10" s="1"/>
  <c r="J17" i="10" s="1"/>
  <c r="N17" i="10" s="1"/>
  <c r="U17" i="10" s="1"/>
  <c r="AL17" i="10" s="1"/>
  <c r="AM17" i="10" s="1"/>
  <c r="J18" i="10" s="1"/>
  <c r="N18" i="10" s="1"/>
  <c r="U18" i="10" s="1"/>
  <c r="AL18" i="10" s="1"/>
  <c r="AM18" i="10" s="1"/>
  <c r="J19" i="10" s="1"/>
  <c r="N19" i="10" s="1"/>
  <c r="U19" i="10" s="1"/>
  <c r="AL19" i="10" s="1"/>
  <c r="AM19" i="10" s="1"/>
  <c r="J20" i="10" s="1"/>
  <c r="N41" i="23" l="1"/>
  <c r="U41" i="23" s="1"/>
  <c r="AM41" i="23" s="1"/>
  <c r="AN41" i="23" s="1"/>
  <c r="J42" i="23" s="1"/>
  <c r="AI34" i="10"/>
  <c r="AK33" i="10"/>
  <c r="AL33" i="11"/>
  <c r="AI34" i="11"/>
  <c r="AI34" i="12"/>
  <c r="AL33" i="12"/>
  <c r="AM33" i="12" s="1"/>
  <c r="AN33" i="12" s="1"/>
  <c r="J34" i="12" s="1"/>
  <c r="N34" i="12" s="1"/>
  <c r="U34" i="12" s="1"/>
  <c r="N20" i="10"/>
  <c r="U20" i="10" s="1"/>
  <c r="AL20" i="10" s="1"/>
  <c r="AM20" i="10" s="1"/>
  <c r="J21" i="10" s="1"/>
  <c r="N21" i="10" s="1"/>
  <c r="U21" i="10" s="1"/>
  <c r="AL21" i="10" s="1"/>
  <c r="AM21" i="10" s="1"/>
  <c r="J22" i="10" s="1"/>
  <c r="N42" i="23" l="1"/>
  <c r="U42" i="23" s="1"/>
  <c r="AM42" i="23" s="1"/>
  <c r="AN42" i="23" s="1"/>
  <c r="J43" i="23" s="1"/>
  <c r="AL34" i="11"/>
  <c r="AI35" i="11"/>
  <c r="AI35" i="12"/>
  <c r="AL34" i="12"/>
  <c r="AM34" i="12" s="1"/>
  <c r="AN34" i="12" s="1"/>
  <c r="J35" i="12" s="1"/>
  <c r="N35" i="12" s="1"/>
  <c r="U35" i="12" s="1"/>
  <c r="AI35" i="10"/>
  <c r="AK34" i="10"/>
  <c r="N22" i="10"/>
  <c r="U22" i="10" s="1"/>
  <c r="AL22" i="10" s="1"/>
  <c r="AM22" i="10" s="1"/>
  <c r="J23" i="10" s="1"/>
  <c r="N43" i="23" l="1"/>
  <c r="U43" i="23" s="1"/>
  <c r="AM43" i="23" s="1"/>
  <c r="AN43" i="23" s="1"/>
  <c r="J44" i="23" s="1"/>
  <c r="AI36" i="10"/>
  <c r="AK35" i="10"/>
  <c r="AL35" i="12"/>
  <c r="AM35" i="12" s="1"/>
  <c r="AN35" i="12" s="1"/>
  <c r="J36" i="12" s="1"/>
  <c r="N36" i="12" s="1"/>
  <c r="U36" i="12" s="1"/>
  <c r="AI36" i="12"/>
  <c r="AL35" i="11"/>
  <c r="AI36" i="11"/>
  <c r="N23" i="10"/>
  <c r="U23" i="10" s="1"/>
  <c r="AL23" i="10" s="1"/>
  <c r="AM23" i="10" s="1"/>
  <c r="J24" i="10" s="1"/>
  <c r="N44" i="23" l="1"/>
  <c r="U44" i="23" s="1"/>
  <c r="AM44" i="23" s="1"/>
  <c r="AN44" i="23" s="1"/>
  <c r="J45" i="23" s="1"/>
  <c r="AL36" i="11"/>
  <c r="AI37" i="11"/>
  <c r="AL36" i="12"/>
  <c r="AM36" i="12" s="1"/>
  <c r="AN36" i="12" s="1"/>
  <c r="J37" i="12" s="1"/>
  <c r="N37" i="12" s="1"/>
  <c r="U37" i="12" s="1"/>
  <c r="AI37" i="12"/>
  <c r="AI37" i="10"/>
  <c r="AK36" i="10"/>
  <c r="N24" i="10"/>
  <c r="U24" i="10" s="1"/>
  <c r="AL24" i="10" s="1"/>
  <c r="AM24" i="10" s="1"/>
  <c r="J25" i="10" s="1"/>
  <c r="N25" i="10" s="1"/>
  <c r="U25" i="10" s="1"/>
  <c r="AL25" i="10" s="1"/>
  <c r="AM25" i="10" s="1"/>
  <c r="J26" i="10" s="1"/>
  <c r="N45" i="23" l="1"/>
  <c r="U45" i="23" s="1"/>
  <c r="AM45" i="23" s="1"/>
  <c r="AN45" i="23" s="1"/>
  <c r="J46" i="23" s="1"/>
  <c r="AI38" i="10"/>
  <c r="AK37" i="10"/>
  <c r="AI38" i="12"/>
  <c r="AL37" i="12"/>
  <c r="AM37" i="12" s="1"/>
  <c r="AN37" i="12" s="1"/>
  <c r="J38" i="12" s="1"/>
  <c r="N38" i="12" s="1"/>
  <c r="U38" i="12" s="1"/>
  <c r="AL37" i="11"/>
  <c r="AI38" i="11"/>
  <c r="N26" i="10"/>
  <c r="U26" i="10" s="1"/>
  <c r="AL26" i="10" s="1"/>
  <c r="AM26" i="10" s="1"/>
  <c r="J27" i="10" s="1"/>
  <c r="N46" i="23" l="1"/>
  <c r="U46" i="23" s="1"/>
  <c r="AM46" i="23" s="1"/>
  <c r="AN46" i="23" s="1"/>
  <c r="J47" i="23" s="1"/>
  <c r="AL38" i="12"/>
  <c r="AM38" i="12" s="1"/>
  <c r="AN38" i="12" s="1"/>
  <c r="J39" i="12" s="1"/>
  <c r="N39" i="12" s="1"/>
  <c r="U39" i="12" s="1"/>
  <c r="AI39" i="12"/>
  <c r="AL38" i="11"/>
  <c r="AI39" i="11"/>
  <c r="AI39" i="10"/>
  <c r="AK38" i="10"/>
  <c r="N27" i="10"/>
  <c r="U27" i="10" s="1"/>
  <c r="AL27" i="10" s="1"/>
  <c r="AM27" i="10" s="1"/>
  <c r="J28" i="10" s="1"/>
  <c r="N47" i="23" l="1"/>
  <c r="U47" i="23" s="1"/>
  <c r="AM47" i="23" s="1"/>
  <c r="AN47" i="23" s="1"/>
  <c r="J48" i="23" s="1"/>
  <c r="AL39" i="11"/>
  <c r="AI40" i="11"/>
  <c r="AI40" i="12"/>
  <c r="AL39" i="12"/>
  <c r="AM39" i="12" s="1"/>
  <c r="AN39" i="12" s="1"/>
  <c r="J40" i="12" s="1"/>
  <c r="N40" i="12" s="1"/>
  <c r="U40" i="12" s="1"/>
  <c r="AI40" i="10"/>
  <c r="AK39" i="10"/>
  <c r="N28" i="10"/>
  <c r="U28" i="10" s="1"/>
  <c r="AL28" i="10" s="1"/>
  <c r="AM28" i="10" s="1"/>
  <c r="J29" i="10" s="1"/>
  <c r="N48" i="23" l="1"/>
  <c r="U48" i="23" s="1"/>
  <c r="AM48" i="23" s="1"/>
  <c r="AN48" i="23" s="1"/>
  <c r="J49" i="23" s="1"/>
  <c r="AI41" i="10"/>
  <c r="AK40" i="10"/>
  <c r="AL40" i="11"/>
  <c r="AI41" i="11"/>
  <c r="AL40" i="12"/>
  <c r="AM40" i="12" s="1"/>
  <c r="AN40" i="12" s="1"/>
  <c r="J41" i="12" s="1"/>
  <c r="N41" i="12" s="1"/>
  <c r="U41" i="12" s="1"/>
  <c r="AI41" i="12"/>
  <c r="N29" i="10"/>
  <c r="U29" i="10" s="1"/>
  <c r="AL29" i="10" s="1"/>
  <c r="AM29" i="10" s="1"/>
  <c r="J30" i="10" s="1"/>
  <c r="N49" i="23" l="1"/>
  <c r="U49" i="23" s="1"/>
  <c r="AM49" i="23" s="1"/>
  <c r="AN49" i="23" s="1"/>
  <c r="J50" i="23" s="1"/>
  <c r="AI42" i="12"/>
  <c r="AL41" i="12"/>
  <c r="AM41" i="12" s="1"/>
  <c r="AN41" i="12" s="1"/>
  <c r="J42" i="12" s="1"/>
  <c r="N42" i="12" s="1"/>
  <c r="U42" i="12" s="1"/>
  <c r="AL41" i="11"/>
  <c r="AI42" i="11"/>
  <c r="AI42" i="10"/>
  <c r="AK41" i="10"/>
  <c r="N30" i="10"/>
  <c r="U30" i="10" s="1"/>
  <c r="AL30" i="10" s="1"/>
  <c r="AM30" i="10" s="1"/>
  <c r="J31" i="10" s="1"/>
  <c r="N50" i="23" l="1"/>
  <c r="U50" i="23" s="1"/>
  <c r="AM50" i="23" s="1"/>
  <c r="AN50" i="23" s="1"/>
  <c r="J51" i="23" s="1"/>
  <c r="AI43" i="10"/>
  <c r="AK42" i="10"/>
  <c r="AL42" i="11"/>
  <c r="AI43" i="11"/>
  <c r="AL42" i="12"/>
  <c r="AM42" i="12" s="1"/>
  <c r="AN42" i="12" s="1"/>
  <c r="J43" i="12" s="1"/>
  <c r="N43" i="12" s="1"/>
  <c r="U43" i="12" s="1"/>
  <c r="AI43" i="12"/>
  <c r="N31" i="10"/>
  <c r="U31" i="10" s="1"/>
  <c r="AL31" i="10" s="1"/>
  <c r="AM31" i="10" s="1"/>
  <c r="J32" i="10" s="1"/>
  <c r="N51" i="23" l="1"/>
  <c r="U51" i="23" s="1"/>
  <c r="AM51" i="23" s="1"/>
  <c r="AN51" i="23" s="1"/>
  <c r="J52" i="23" s="1"/>
  <c r="AL43" i="12"/>
  <c r="AM43" i="12" s="1"/>
  <c r="AN43" i="12" s="1"/>
  <c r="J44" i="12" s="1"/>
  <c r="N44" i="12" s="1"/>
  <c r="U44" i="12" s="1"/>
  <c r="AI44" i="12"/>
  <c r="AL43" i="11"/>
  <c r="AI44" i="11"/>
  <c r="AK43" i="10"/>
  <c r="AI44" i="10"/>
  <c r="N32" i="10"/>
  <c r="U32" i="10" s="1"/>
  <c r="AL32" i="10" s="1"/>
  <c r="AM32" i="10" s="1"/>
  <c r="N52" i="23" l="1"/>
  <c r="U52" i="23" s="1"/>
  <c r="AM52" i="23" s="1"/>
  <c r="AN52" i="23" s="1"/>
  <c r="J53" i="23" s="1"/>
  <c r="AI45" i="10"/>
  <c r="AK44" i="10"/>
  <c r="AL44" i="11"/>
  <c r="AI45" i="11"/>
  <c r="AL44" i="12"/>
  <c r="AM44" i="12" s="1"/>
  <c r="AN44" i="12" s="1"/>
  <c r="J45" i="12" s="1"/>
  <c r="N45" i="12" s="1"/>
  <c r="U45" i="12" s="1"/>
  <c r="AI45" i="12"/>
  <c r="J33" i="10"/>
  <c r="N53" i="23" l="1"/>
  <c r="U53" i="23" s="1"/>
  <c r="AM53" i="23" s="1"/>
  <c r="AN53" i="23" s="1"/>
  <c r="AL45" i="11"/>
  <c r="AI46" i="11"/>
  <c r="AI46" i="12"/>
  <c r="AL45" i="12"/>
  <c r="AM45" i="12" s="1"/>
  <c r="AN45" i="12" s="1"/>
  <c r="J46" i="12" s="1"/>
  <c r="N46" i="12" s="1"/>
  <c r="U46" i="12" s="1"/>
  <c r="AI46" i="10"/>
  <c r="AK45" i="10"/>
  <c r="N33" i="10"/>
  <c r="U33" i="10" s="1"/>
  <c r="AL33" i="10" s="1"/>
  <c r="AM33" i="10" s="1"/>
  <c r="AL46" i="12" l="1"/>
  <c r="AM46" i="12" s="1"/>
  <c r="AN46" i="12" s="1"/>
  <c r="J47" i="12" s="1"/>
  <c r="N47" i="12" s="1"/>
  <c r="U47" i="12" s="1"/>
  <c r="AI47" i="12"/>
  <c r="AI47" i="10"/>
  <c r="AK46" i="10"/>
  <c r="AL46" i="11"/>
  <c r="AI47" i="11"/>
  <c r="J34" i="10"/>
  <c r="AL47" i="11" l="1"/>
  <c r="AI48" i="11"/>
  <c r="AI48" i="10"/>
  <c r="AK47" i="10"/>
  <c r="AL47" i="12"/>
  <c r="AM47" i="12" s="1"/>
  <c r="AN47" i="12" s="1"/>
  <c r="J48" i="12" s="1"/>
  <c r="N48" i="12" s="1"/>
  <c r="U48" i="12" s="1"/>
  <c r="AI48" i="12"/>
  <c r="N34" i="10"/>
  <c r="U34" i="10" s="1"/>
  <c r="AL34" i="10" s="1"/>
  <c r="AM34" i="10" s="1"/>
  <c r="AI49" i="10" l="1"/>
  <c r="AK48" i="10"/>
  <c r="AL48" i="11"/>
  <c r="AI49" i="11"/>
  <c r="AI49" i="12"/>
  <c r="AL48" i="12"/>
  <c r="AM48" i="12" s="1"/>
  <c r="AN48" i="12" s="1"/>
  <c r="J49" i="12" s="1"/>
  <c r="N49" i="12" s="1"/>
  <c r="U49" i="12" s="1"/>
  <c r="J35" i="10"/>
  <c r="M50" i="6"/>
  <c r="L50" i="6"/>
  <c r="K50" i="6"/>
  <c r="J50" i="6"/>
  <c r="I50" i="6"/>
  <c r="H50" i="6"/>
  <c r="G50" i="6"/>
  <c r="F50" i="6"/>
  <c r="E50" i="6"/>
  <c r="D50" i="6"/>
  <c r="C50" i="6"/>
  <c r="B50" i="6"/>
  <c r="N42" i="6"/>
  <c r="N41" i="6"/>
  <c r="N40" i="6"/>
  <c r="N39" i="6"/>
  <c r="N35" i="6"/>
  <c r="N34" i="6"/>
  <c r="N33" i="6"/>
  <c r="N31" i="6"/>
  <c r="N30" i="6"/>
  <c r="N25" i="6"/>
  <c r="N24" i="6"/>
  <c r="N22" i="6"/>
  <c r="N21" i="6"/>
  <c r="N19" i="6"/>
  <c r="N18" i="6"/>
  <c r="N17" i="6"/>
  <c r="N16" i="6"/>
  <c r="N14" i="6"/>
  <c r="M10" i="6"/>
  <c r="L10" i="6"/>
  <c r="K10" i="6"/>
  <c r="J10" i="6"/>
  <c r="I10" i="6"/>
  <c r="H10" i="6"/>
  <c r="G10" i="6"/>
  <c r="F10" i="6"/>
  <c r="E10" i="6"/>
  <c r="D10" i="6"/>
  <c r="C10" i="6"/>
  <c r="B10" i="6"/>
  <c r="N7" i="6"/>
  <c r="N6" i="6"/>
  <c r="E51" i="6" l="1"/>
  <c r="I51" i="6"/>
  <c r="M51" i="6"/>
  <c r="B51" i="6"/>
  <c r="B52" i="6" s="1"/>
  <c r="C52" i="6" s="1"/>
  <c r="D52" i="6" s="1"/>
  <c r="E52" i="6" s="1"/>
  <c r="F52" i="6" s="1"/>
  <c r="G52" i="6" s="1"/>
  <c r="H52" i="6" s="1"/>
  <c r="I52" i="6" s="1"/>
  <c r="J52" i="6" s="1"/>
  <c r="K52" i="6" s="1"/>
  <c r="L52" i="6" s="1"/>
  <c r="F51" i="6"/>
  <c r="J51" i="6"/>
  <c r="C51" i="6"/>
  <c r="K51" i="6"/>
  <c r="G51" i="6"/>
  <c r="D51" i="6"/>
  <c r="H51" i="6"/>
  <c r="L51" i="6"/>
  <c r="AL49" i="12"/>
  <c r="AM49" i="12" s="1"/>
  <c r="AN49" i="12" s="1"/>
  <c r="J50" i="12" s="1"/>
  <c r="N50" i="12" s="1"/>
  <c r="U50" i="12" s="1"/>
  <c r="AI50" i="12"/>
  <c r="AK49" i="10"/>
  <c r="AI50" i="10"/>
  <c r="AL49" i="11"/>
  <c r="AI50" i="11"/>
  <c r="N50" i="6"/>
  <c r="N10" i="6"/>
  <c r="N35" i="10"/>
  <c r="U35" i="10" s="1"/>
  <c r="AL35" i="10" s="1"/>
  <c r="AK50" i="10" l="1"/>
  <c r="AI51" i="10"/>
  <c r="AL50" i="11"/>
  <c r="AI51" i="11"/>
  <c r="AL50" i="12"/>
  <c r="AM50" i="12" s="1"/>
  <c r="AN50" i="12" s="1"/>
  <c r="J51" i="12" s="1"/>
  <c r="N51" i="12" s="1"/>
  <c r="U51" i="12" s="1"/>
  <c r="AI51" i="12"/>
  <c r="N51" i="6"/>
  <c r="AM35" i="10"/>
  <c r="J36" i="10" s="1"/>
  <c r="M52" i="6"/>
  <c r="I27" i="2"/>
  <c r="I18" i="2"/>
  <c r="F21" i="2"/>
  <c r="F15" i="2"/>
  <c r="C17" i="2"/>
  <c r="C8" i="2"/>
  <c r="AK51" i="10" l="1"/>
  <c r="AI52" i="10"/>
  <c r="AL51" i="12"/>
  <c r="AM51" i="12" s="1"/>
  <c r="AN51" i="12" s="1"/>
  <c r="J52" i="12" s="1"/>
  <c r="N52" i="12" s="1"/>
  <c r="U52" i="12" s="1"/>
  <c r="AI52" i="12"/>
  <c r="AL51" i="11"/>
  <c r="AI52" i="11"/>
  <c r="N36" i="10"/>
  <c r="U36" i="10" s="1"/>
  <c r="AL36" i="10" s="1"/>
  <c r="L25" i="2"/>
  <c r="C19" i="2"/>
  <c r="AL52" i="11" l="1"/>
  <c r="AI53" i="11"/>
  <c r="AL53" i="11" s="1"/>
  <c r="AL52" i="12"/>
  <c r="AM52" i="12" s="1"/>
  <c r="AN52" i="12" s="1"/>
  <c r="J53" i="12" s="1"/>
  <c r="N53" i="12" s="1"/>
  <c r="U53" i="12" s="1"/>
  <c r="AI53" i="12"/>
  <c r="AL53" i="12" s="1"/>
  <c r="AK52" i="10"/>
  <c r="AI53" i="10"/>
  <c r="AK53" i="10" s="1"/>
  <c r="AM36" i="10"/>
  <c r="J37" i="10" s="1"/>
  <c r="E16" i="1"/>
  <c r="L27" i="2"/>
  <c r="AM53" i="12" l="1"/>
  <c r="AN53" i="12" s="1"/>
  <c r="N37" i="10"/>
  <c r="U37" i="10" s="1"/>
  <c r="AL37" i="10" s="1"/>
  <c r="AM37" i="10" s="1"/>
  <c r="J38" i="10" l="1"/>
  <c r="N38" i="10" l="1"/>
  <c r="U38" i="10" s="1"/>
  <c r="AL38" i="10" s="1"/>
  <c r="AM38" i="10" s="1"/>
  <c r="J39" i="10" l="1"/>
  <c r="N39" i="10" l="1"/>
  <c r="U39" i="10" s="1"/>
  <c r="AL39" i="10" s="1"/>
  <c r="AM39" i="10" s="1"/>
  <c r="J40" i="10" l="1"/>
  <c r="N40" i="10" l="1"/>
  <c r="U40" i="10" s="1"/>
  <c r="AL40" i="10" s="1"/>
  <c r="AM40" i="10" s="1"/>
  <c r="J41" i="10" l="1"/>
  <c r="N41" i="10" l="1"/>
  <c r="U41" i="10" s="1"/>
  <c r="AL41" i="10" s="1"/>
  <c r="AM41" i="10" s="1"/>
  <c r="J42" i="10" l="1"/>
  <c r="N42" i="10" l="1"/>
  <c r="U42" i="10" s="1"/>
  <c r="AL42" i="10" s="1"/>
  <c r="AM42" i="10" s="1"/>
  <c r="J43" i="10" l="1"/>
  <c r="N43" i="10" l="1"/>
  <c r="U43" i="10" s="1"/>
  <c r="AL43" i="10" s="1"/>
  <c r="AM43" i="10" s="1"/>
  <c r="J44" i="10" l="1"/>
  <c r="N44" i="10" l="1"/>
  <c r="U44" i="10" s="1"/>
  <c r="AL44" i="10" s="1"/>
  <c r="AM44" i="10" s="1"/>
  <c r="J45" i="10" l="1"/>
  <c r="N45" i="10" l="1"/>
  <c r="U45" i="10" s="1"/>
  <c r="AL45" i="10" s="1"/>
  <c r="AM45" i="10" s="1"/>
  <c r="J46" i="10" l="1"/>
  <c r="N46" i="10" l="1"/>
  <c r="U46" i="10" s="1"/>
  <c r="AL46" i="10" s="1"/>
  <c r="AM46" i="10" s="1"/>
  <c r="J47" i="10" l="1"/>
  <c r="N47" i="10" l="1"/>
  <c r="U47" i="10" s="1"/>
  <c r="AL47" i="10" s="1"/>
  <c r="AM47" i="10" s="1"/>
  <c r="J48" i="10" l="1"/>
  <c r="N48" i="10" l="1"/>
  <c r="U48" i="10" s="1"/>
  <c r="AL48" i="10" s="1"/>
  <c r="AM48" i="10" s="1"/>
  <c r="J49" i="10" l="1"/>
  <c r="N49" i="10" l="1"/>
  <c r="U49" i="10" s="1"/>
  <c r="AL49" i="10" s="1"/>
  <c r="AM49" i="10" s="1"/>
  <c r="J50" i="10" l="1"/>
  <c r="N50" i="10" l="1"/>
  <c r="U50" i="10" s="1"/>
  <c r="AL50" i="10" s="1"/>
  <c r="AM50" i="10" l="1"/>
  <c r="J51" i="10" s="1"/>
  <c r="N51" i="10" l="1"/>
  <c r="U51" i="10" s="1"/>
  <c r="AL51" i="10" s="1"/>
  <c r="AM51" i="10" l="1"/>
  <c r="J52" i="10" s="1"/>
  <c r="N52" i="10" l="1"/>
  <c r="U52" i="10" s="1"/>
  <c r="AL52" i="10" s="1"/>
  <c r="AM52" i="10" l="1"/>
  <c r="J53" i="10" s="1"/>
  <c r="N53" i="10" l="1"/>
  <c r="U53" i="10" s="1"/>
  <c r="AL53" i="10" s="1"/>
  <c r="AM53" i="10" s="1"/>
  <c r="AM15" i="11"/>
  <c r="AM9" i="11"/>
  <c r="AN4" i="11"/>
  <c r="J5" i="11" s="1"/>
  <c r="N5" i="11" l="1"/>
  <c r="U5" i="11" s="1"/>
  <c r="AM5" i="11" l="1"/>
  <c r="AN5" i="11" s="1"/>
  <c r="J6" i="11" s="1"/>
  <c r="N6" i="11" s="1"/>
  <c r="U6" i="11" s="1"/>
  <c r="AM6" i="11" l="1"/>
  <c r="AN6" i="11" s="1"/>
  <c r="J7" i="11" s="1"/>
  <c r="N7" i="11" s="1"/>
  <c r="U7" i="11" s="1"/>
  <c r="AM7" i="11" l="1"/>
  <c r="AN7" i="11" s="1"/>
  <c r="J8" i="11" s="1"/>
  <c r="N8" i="11" s="1"/>
  <c r="U8" i="11" s="1"/>
  <c r="AM8" i="11" l="1"/>
  <c r="AN8" i="11" s="1"/>
  <c r="J9" i="11" s="1"/>
  <c r="AN9" i="11" s="1"/>
  <c r="J10" i="11" s="1"/>
  <c r="N10" i="11" s="1"/>
  <c r="U10" i="11" s="1"/>
  <c r="AM10" i="11" l="1"/>
  <c r="AN10" i="11" s="1"/>
  <c r="J11" i="11" s="1"/>
  <c r="N11" i="11" s="1"/>
  <c r="U11" i="11" s="1"/>
  <c r="AM11" i="11" l="1"/>
  <c r="AN11" i="11" s="1"/>
  <c r="J12" i="11" s="1"/>
  <c r="N12" i="11" s="1"/>
  <c r="U12" i="11" s="1"/>
  <c r="AM12" i="11" l="1"/>
  <c r="AN12" i="11" s="1"/>
  <c r="J13" i="11" s="1"/>
  <c r="N13" i="11" s="1"/>
  <c r="U13" i="11" s="1"/>
  <c r="AM13" i="11" l="1"/>
  <c r="AN13" i="11" s="1"/>
  <c r="J14" i="11" s="1"/>
  <c r="N14" i="11" s="1"/>
  <c r="U14" i="11" s="1"/>
  <c r="AM14" i="11" s="1"/>
  <c r="AN14" i="11" s="1"/>
  <c r="J15" i="11" s="1"/>
  <c r="AN15" i="11" s="1"/>
  <c r="J16" i="11" s="1"/>
  <c r="N16" i="11" l="1"/>
  <c r="U16" i="11" s="1"/>
  <c r="AM16" i="11" s="1"/>
  <c r="AN16" i="11" s="1"/>
  <c r="J17" i="11" s="1"/>
  <c r="N17" i="11" l="1"/>
  <c r="U17" i="11" s="1"/>
  <c r="AM17" i="11" s="1"/>
  <c r="AN17" i="11" s="1"/>
  <c r="J18" i="11" s="1"/>
  <c r="N18" i="11" l="1"/>
  <c r="U18" i="11" s="1"/>
  <c r="AM18" i="11" s="1"/>
  <c r="AN18" i="11" s="1"/>
  <c r="J19" i="11" s="1"/>
  <c r="N19" i="11" l="1"/>
  <c r="U19" i="11" s="1"/>
  <c r="AM19" i="11" s="1"/>
  <c r="AN19" i="11" s="1"/>
  <c r="J20" i="11" s="1"/>
  <c r="N20" i="11" l="1"/>
  <c r="U20" i="11" s="1"/>
  <c r="AM20" i="11" s="1"/>
  <c r="AN20" i="11" s="1"/>
  <c r="J21" i="11" s="1"/>
  <c r="N21" i="11" l="1"/>
  <c r="U21" i="11" s="1"/>
  <c r="AM21" i="11" s="1"/>
  <c r="AN21" i="11" s="1"/>
  <c r="J22" i="11" s="1"/>
  <c r="N22" i="11" l="1"/>
  <c r="U22" i="11" s="1"/>
  <c r="AM22" i="11" s="1"/>
  <c r="AN22" i="11" s="1"/>
  <c r="J23" i="11" s="1"/>
  <c r="N23" i="11" l="1"/>
  <c r="U23" i="11" s="1"/>
  <c r="AM23" i="11" s="1"/>
  <c r="AN23" i="11" s="1"/>
  <c r="J24" i="11" s="1"/>
  <c r="N24" i="11" l="1"/>
  <c r="U24" i="11" s="1"/>
  <c r="AM24" i="11" s="1"/>
  <c r="AN24" i="11" s="1"/>
  <c r="J25" i="11" s="1"/>
  <c r="N25" i="11" l="1"/>
  <c r="U25" i="11" s="1"/>
  <c r="AM25" i="11" s="1"/>
  <c r="AN25" i="11" s="1"/>
  <c r="J26" i="11" s="1"/>
  <c r="N26" i="11" l="1"/>
  <c r="U26" i="11" s="1"/>
  <c r="AM26" i="11" s="1"/>
  <c r="AN26" i="11" s="1"/>
  <c r="J27" i="11" s="1"/>
  <c r="N27" i="11" l="1"/>
  <c r="U27" i="11" s="1"/>
  <c r="AM27" i="11" s="1"/>
  <c r="AN27" i="11" s="1"/>
  <c r="J28" i="11" s="1"/>
  <c r="N28" i="11" l="1"/>
  <c r="U28" i="11" s="1"/>
  <c r="AM28" i="11" s="1"/>
  <c r="AN28" i="11" s="1"/>
  <c r="J29" i="11" s="1"/>
  <c r="N29" i="11" l="1"/>
  <c r="U29" i="11" s="1"/>
  <c r="AM29" i="11" s="1"/>
  <c r="AN29" i="11" s="1"/>
  <c r="J30" i="11" s="1"/>
  <c r="N30" i="11" l="1"/>
  <c r="U30" i="11" s="1"/>
  <c r="AM30" i="11" s="1"/>
  <c r="AN30" i="11" s="1"/>
  <c r="J31" i="11" s="1"/>
  <c r="N31" i="11" l="1"/>
  <c r="U31" i="11" s="1"/>
  <c r="AM31" i="11" s="1"/>
  <c r="AN31" i="11" s="1"/>
  <c r="J32" i="11" s="1"/>
  <c r="N32" i="11" l="1"/>
  <c r="U32" i="11" s="1"/>
  <c r="AM32" i="11" s="1"/>
  <c r="AN32" i="11" s="1"/>
  <c r="J33" i="11" s="1"/>
  <c r="N33" i="11" l="1"/>
  <c r="U33" i="11" s="1"/>
  <c r="AM33" i="11" s="1"/>
  <c r="AN33" i="11" s="1"/>
  <c r="J34" i="11" s="1"/>
  <c r="N34" i="11" l="1"/>
  <c r="U34" i="11" s="1"/>
  <c r="AM34" i="11" s="1"/>
  <c r="AN34" i="11" s="1"/>
  <c r="J35" i="11" s="1"/>
  <c r="N35" i="11" l="1"/>
  <c r="U35" i="11" s="1"/>
  <c r="AM35" i="11" s="1"/>
  <c r="AN35" i="11" s="1"/>
  <c r="J36" i="11" s="1"/>
  <c r="N36" i="11" l="1"/>
  <c r="U36" i="11" s="1"/>
  <c r="AM36" i="11" s="1"/>
  <c r="AN36" i="11" s="1"/>
  <c r="J37" i="11" s="1"/>
  <c r="N37" i="11" l="1"/>
  <c r="U37" i="11" s="1"/>
  <c r="AM37" i="11" s="1"/>
  <c r="AN37" i="11" s="1"/>
  <c r="J38" i="11" s="1"/>
  <c r="N38" i="11" l="1"/>
  <c r="U38" i="11" s="1"/>
  <c r="AM38" i="11" s="1"/>
  <c r="AN38" i="11" s="1"/>
  <c r="J39" i="11" s="1"/>
  <c r="N39" i="11" l="1"/>
  <c r="U39" i="11" s="1"/>
  <c r="AM39" i="11" s="1"/>
  <c r="AN39" i="11" s="1"/>
  <c r="J40" i="11" s="1"/>
  <c r="N40" i="11" l="1"/>
  <c r="U40" i="11" s="1"/>
  <c r="AM40" i="11" s="1"/>
  <c r="AN40" i="11" s="1"/>
  <c r="J41" i="11" s="1"/>
  <c r="N41" i="11" l="1"/>
  <c r="U41" i="11" s="1"/>
  <c r="AM41" i="11" s="1"/>
  <c r="AN41" i="11" s="1"/>
  <c r="J42" i="11" s="1"/>
  <c r="N42" i="11" l="1"/>
  <c r="U42" i="11" s="1"/>
  <c r="AM42" i="11" s="1"/>
  <c r="AN42" i="11" s="1"/>
  <c r="J43" i="11" s="1"/>
  <c r="N43" i="11" l="1"/>
  <c r="U43" i="11" s="1"/>
  <c r="AM43" i="11" s="1"/>
  <c r="AN43" i="11" s="1"/>
  <c r="J44" i="11" s="1"/>
  <c r="N44" i="11" l="1"/>
  <c r="U44" i="11" s="1"/>
  <c r="AM44" i="11" s="1"/>
  <c r="AN44" i="11" s="1"/>
  <c r="J45" i="11" s="1"/>
  <c r="N45" i="11" l="1"/>
  <c r="U45" i="11" s="1"/>
  <c r="AM45" i="11" s="1"/>
  <c r="AN45" i="11" s="1"/>
  <c r="J46" i="11" s="1"/>
  <c r="N46" i="11" l="1"/>
  <c r="U46" i="11" s="1"/>
  <c r="AM46" i="11" s="1"/>
  <c r="AN46" i="11" s="1"/>
  <c r="J47" i="11" s="1"/>
  <c r="N47" i="11" l="1"/>
  <c r="U47" i="11" s="1"/>
  <c r="AM47" i="11" s="1"/>
  <c r="AN47" i="11" s="1"/>
  <c r="J48" i="11" s="1"/>
  <c r="N48" i="11" l="1"/>
  <c r="U48" i="11" s="1"/>
  <c r="AM48" i="11" s="1"/>
  <c r="AN48" i="11" s="1"/>
  <c r="J49" i="11" s="1"/>
  <c r="N49" i="11" l="1"/>
  <c r="U49" i="11" s="1"/>
  <c r="AM49" i="11" s="1"/>
  <c r="AN49" i="11" s="1"/>
  <c r="J50" i="11" s="1"/>
  <c r="N50" i="11" l="1"/>
  <c r="U50" i="11" s="1"/>
  <c r="AM50" i="11" s="1"/>
  <c r="AN50" i="11" s="1"/>
  <c r="J51" i="11" s="1"/>
  <c r="N51" i="11" l="1"/>
  <c r="U51" i="11" s="1"/>
  <c r="AM51" i="11" s="1"/>
  <c r="AN51" i="11" s="1"/>
  <c r="J52" i="11" s="1"/>
  <c r="N52" i="11" l="1"/>
  <c r="U52" i="11" s="1"/>
  <c r="AM52" i="11" s="1"/>
  <c r="AN52" i="11" s="1"/>
  <c r="J53" i="11" s="1"/>
  <c r="N53" i="11" l="1"/>
  <c r="U53" i="11" s="1"/>
  <c r="AM53" i="11" s="1"/>
  <c r="AN53" i="11" s="1"/>
</calcChain>
</file>

<file path=xl/sharedStrings.xml><?xml version="1.0" encoding="utf-8"?>
<sst xmlns="http://schemas.openxmlformats.org/spreadsheetml/2006/main" count="1140" uniqueCount="398">
  <si>
    <t>Frasca, Personal Finance: An Integrated Planning Approach: 8th Ed., Pearson Prentice-Hall, Inc.</t>
  </si>
  <si>
    <r>
      <rPr>
        <sz val="11"/>
        <color theme="1"/>
        <rFont val="新細明體"/>
        <family val="1"/>
        <charset val="136"/>
      </rPr>
      <t>薪資：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</si>
  <si>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利息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</si>
  <si>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股利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</si>
  <si>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資本利得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</si>
  <si>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其他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</si>
  <si>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其他所得總和</t>
    </r>
    <phoneticPr fontId="1" type="noConversion"/>
  </si>
  <si>
    <r>
      <rPr>
        <b/>
        <sz val="11"/>
        <color theme="1"/>
        <rFont val="新細明體"/>
        <family val="1"/>
        <charset val="136"/>
      </rPr>
      <t>資產</t>
    </r>
    <phoneticPr fontId="1" type="noConversion"/>
  </si>
  <si>
    <r>
      <rPr>
        <b/>
        <sz val="11"/>
        <color theme="1"/>
        <rFont val="新細明體"/>
        <family val="1"/>
        <charset val="136"/>
      </rPr>
      <t>負債</t>
    </r>
    <phoneticPr fontId="1" type="noConversion"/>
  </si>
  <si>
    <r>
      <t xml:space="preserve">    </t>
    </r>
    <r>
      <rPr>
        <b/>
        <sz val="11"/>
        <color theme="1"/>
        <rFont val="新細明體"/>
        <family val="1"/>
        <charset val="136"/>
      </rPr>
      <t>淨值</t>
    </r>
    <phoneticPr fontId="1" type="noConversion"/>
  </si>
  <si>
    <r>
      <t xml:space="preserve">    </t>
    </r>
    <r>
      <rPr>
        <b/>
        <sz val="11"/>
        <color theme="1"/>
        <rFont val="新細明體"/>
        <family val="1"/>
        <charset val="136"/>
      </rPr>
      <t>負債總和與淨值</t>
    </r>
    <phoneticPr fontId="1" type="noConversion"/>
  </si>
  <si>
    <r>
      <rPr>
        <sz val="10"/>
        <rFont val="新細明體"/>
        <family val="1"/>
        <charset val="136"/>
      </rPr>
      <t>利息</t>
    </r>
    <phoneticPr fontId="1" type="noConversion"/>
  </si>
  <si>
    <r>
      <rPr>
        <sz val="10"/>
        <rFont val="新細明體"/>
        <family val="1"/>
        <charset val="136"/>
      </rPr>
      <t>股利</t>
    </r>
    <phoneticPr fontId="1" type="noConversion"/>
  </si>
  <si>
    <r>
      <t xml:space="preserve">   </t>
    </r>
    <r>
      <rPr>
        <sz val="10"/>
        <rFont val="新細明體"/>
        <family val="1"/>
        <charset val="136"/>
      </rPr>
      <t>所得總和</t>
    </r>
    <phoneticPr fontId="1" type="noConversion"/>
  </si>
  <si>
    <r>
      <rPr>
        <sz val="10"/>
        <rFont val="新細明體"/>
        <family val="1"/>
        <charset val="136"/>
      </rPr>
      <t>房貸</t>
    </r>
    <phoneticPr fontId="1" type="noConversion"/>
  </si>
  <si>
    <r>
      <rPr>
        <sz val="10"/>
        <rFont val="新細明體"/>
        <family val="1"/>
        <charset val="136"/>
      </rPr>
      <t>汽車貸款</t>
    </r>
    <phoneticPr fontId="1" type="noConversion"/>
  </si>
  <si>
    <r>
      <rPr>
        <sz val="10"/>
        <rFont val="新細明體"/>
        <family val="1"/>
        <charset val="136"/>
      </rPr>
      <t>油錢與維修費</t>
    </r>
    <phoneticPr fontId="1" type="noConversion"/>
  </si>
  <si>
    <r>
      <rPr>
        <sz val="10"/>
        <rFont val="新細明體"/>
        <family val="1"/>
        <charset val="136"/>
      </rPr>
      <t>外出用餐</t>
    </r>
    <phoneticPr fontId="1" type="noConversion"/>
  </si>
  <si>
    <r>
      <rPr>
        <sz val="10"/>
        <rFont val="新細明體"/>
        <family val="1"/>
        <charset val="136"/>
      </rPr>
      <t>水費</t>
    </r>
    <phoneticPr fontId="1" type="noConversion"/>
  </si>
  <si>
    <r>
      <rPr>
        <sz val="10"/>
        <rFont val="新細明體"/>
        <family val="1"/>
        <charset val="136"/>
      </rPr>
      <t>所得稅</t>
    </r>
    <phoneticPr fontId="1" type="noConversion"/>
  </si>
  <si>
    <r>
      <rPr>
        <sz val="10"/>
        <rFont val="新細明體"/>
        <family val="1"/>
        <charset val="136"/>
      </rPr>
      <t>健保</t>
    </r>
    <phoneticPr fontId="1" type="noConversion"/>
  </si>
  <si>
    <r>
      <rPr>
        <sz val="10"/>
        <rFont val="新細明體"/>
        <family val="1"/>
        <charset val="136"/>
      </rPr>
      <t>產險</t>
    </r>
    <phoneticPr fontId="1" type="noConversion"/>
  </si>
  <si>
    <r>
      <rPr>
        <sz val="10"/>
        <rFont val="新細明體"/>
        <family val="1"/>
        <charset val="136"/>
      </rPr>
      <t>汽車保險</t>
    </r>
    <phoneticPr fontId="1" type="noConversion"/>
  </si>
  <si>
    <r>
      <rPr>
        <sz val="10"/>
        <rFont val="新細明體"/>
        <family val="1"/>
        <charset val="136"/>
      </rPr>
      <t>電影與運動賽事</t>
    </r>
    <phoneticPr fontId="1" type="noConversion"/>
  </si>
  <si>
    <r>
      <rPr>
        <sz val="10"/>
        <rFont val="新細明體"/>
        <family val="1"/>
        <charset val="136"/>
      </rPr>
      <t>健身房會員</t>
    </r>
    <phoneticPr fontId="4" type="noConversion"/>
  </si>
  <si>
    <r>
      <rPr>
        <sz val="10"/>
        <rFont val="新細明體"/>
        <family val="1"/>
        <charset val="136"/>
      </rPr>
      <t>度假</t>
    </r>
    <phoneticPr fontId="1" type="noConversion"/>
  </si>
  <si>
    <r>
      <rPr>
        <sz val="10"/>
        <rFont val="新細明體"/>
        <family val="1"/>
        <charset val="136"/>
      </rPr>
      <t>洗衣乾洗</t>
    </r>
    <phoneticPr fontId="1" type="noConversion"/>
  </si>
  <si>
    <r>
      <rPr>
        <sz val="10"/>
        <rFont val="新細明體"/>
        <family val="1"/>
        <charset val="136"/>
      </rPr>
      <t>慈善捐款</t>
    </r>
    <phoneticPr fontId="1" type="noConversion"/>
  </si>
  <si>
    <r>
      <t xml:space="preserve">    </t>
    </r>
    <r>
      <rPr>
        <sz val="10"/>
        <rFont val="新細明體"/>
        <family val="1"/>
        <charset val="136"/>
      </rPr>
      <t>費用總和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</si>
  <si>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預估應繳稅金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</si>
  <si>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房貸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</si>
  <si>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稅賦總和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</si>
  <si>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保險總和</t>
    </r>
    <phoneticPr fontId="1" type="noConversion"/>
  </si>
  <si>
    <r>
      <rPr>
        <sz val="11"/>
        <color theme="1"/>
        <rFont val="新細明體"/>
        <family val="1"/>
        <charset val="136"/>
      </rPr>
      <t>居住：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</si>
  <si>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租金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</si>
  <si>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健身房會員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</si>
  <si>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度假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</si>
  <si>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居住支出總和</t>
    </r>
    <phoneticPr fontId="1" type="noConversion"/>
  </si>
  <si>
    <r>
      <rPr>
        <sz val="11"/>
        <color theme="1"/>
        <rFont val="新細明體"/>
        <family val="1"/>
        <charset val="136"/>
      </rPr>
      <t>交通：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</si>
  <si>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汽車貸款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</si>
  <si>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休閒娛樂總和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</si>
  <si>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油錢與維修費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</si>
  <si>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其他交通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</si>
  <si>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洗衣、乾洗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</si>
  <si>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交通支出總和</t>
    </r>
    <phoneticPr fontId="1" type="noConversion"/>
  </si>
  <si>
    <r>
      <rPr>
        <sz val="11"/>
        <color theme="1"/>
        <rFont val="新細明體"/>
        <family val="1"/>
        <charset val="136"/>
      </rPr>
      <t>食物及其他消費：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</si>
  <si>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衣物總和</t>
    </r>
    <phoneticPr fontId="1" type="noConversion"/>
  </si>
  <si>
    <r>
      <rPr>
        <sz val="11"/>
        <color theme="1"/>
        <rFont val="新細明體"/>
        <family val="1"/>
        <charset val="136"/>
      </rPr>
      <t>其他：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</si>
  <si>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外出用餐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</si>
  <si>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慈善捐款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</si>
  <si>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食物及其他消費總和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</si>
  <si>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保母</t>
    </r>
    <phoneticPr fontId="1" type="noConversion"/>
  </si>
  <si>
    <r>
      <rPr>
        <sz val="11"/>
        <color theme="1"/>
        <rFont val="新細明體"/>
        <family val="1"/>
        <charset val="136"/>
      </rPr>
      <t>水電類雜支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</si>
  <si>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其他總和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</si>
  <si>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水費</t>
    </r>
    <phoneticPr fontId="1" type="noConversion"/>
  </si>
  <si>
    <r>
      <t xml:space="preserve">        </t>
    </r>
    <r>
      <rPr>
        <sz val="11"/>
        <color theme="1"/>
        <rFont val="新細明體"/>
        <family val="1"/>
        <charset val="136"/>
      </rPr>
      <t>水電費總和</t>
    </r>
    <phoneticPr fontId="1" type="noConversion"/>
  </si>
  <si>
    <t>目標</t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</si>
  <si>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現金</t>
    </r>
    <phoneticPr fontId="1" type="noConversion"/>
  </si>
  <si>
    <t xml:space="preserve">    活期存款</t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</si>
  <si>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定期存款</t>
    </r>
    <phoneticPr fontId="1" type="noConversion"/>
  </si>
  <si>
    <t xml:space="preserve">    自用住宅 (市值)</t>
    <phoneticPr fontId="1" type="noConversion"/>
  </si>
  <si>
    <t xml:space="preserve">    轎車 (市值)</t>
    <phoneticPr fontId="1" type="noConversion"/>
  </si>
  <si>
    <t xml:space="preserve">    股票 (市值)</t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</si>
  <si>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基金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市值</t>
    </r>
    <r>
      <rPr>
        <sz val="11"/>
        <color theme="1"/>
        <rFont val="Times New Roman"/>
        <family val="1"/>
      </rPr>
      <t>)</t>
    </r>
    <phoneticPr fontId="1" type="noConversion"/>
  </si>
  <si>
    <t xml:space="preserve">    珠寶與蒐藏品 (市值)</t>
    <phoneticPr fontId="1" type="noConversion"/>
  </si>
  <si>
    <t xml:space="preserve">    保單現金價值 (解約金)</t>
    <phoneticPr fontId="1" type="noConversion"/>
  </si>
  <si>
    <t xml:space="preserve">    土地 (市值)</t>
    <phoneticPr fontId="1" type="noConversion"/>
  </si>
  <si>
    <t xml:space="preserve">    勞工退休金帳戶價值</t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</si>
  <si>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信用卡循環信用餘額</t>
    </r>
    <phoneticPr fontId="1" type="noConversion"/>
  </si>
  <si>
    <t xml:space="preserve">    車貸餘額</t>
    <phoneticPr fontId="1" type="noConversion"/>
  </si>
  <si>
    <t xml:space="preserve">    購屋貸款餘額</t>
    <phoneticPr fontId="1" type="noConversion"/>
  </si>
  <si>
    <t xml:space="preserve">    信用貸款餘額</t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</si>
  <si>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保單、股票質押貸款餘額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</si>
  <si>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未支付帳單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已消費</t>
    </r>
    <r>
      <rPr>
        <sz val="11"/>
        <color theme="1"/>
        <rFont val="Times New Roman"/>
        <family val="1"/>
      </rPr>
      <t>)</t>
    </r>
    <phoneticPr fontId="1" type="noConversion"/>
  </si>
  <si>
    <r>
      <t xml:space="preserve">    </t>
    </r>
    <r>
      <rPr>
        <b/>
        <sz val="11"/>
        <color theme="1"/>
        <rFont val="新細明體"/>
        <family val="1"/>
        <charset val="136"/>
      </rPr>
      <t>負債總額</t>
    </r>
    <phoneticPr fontId="1" type="noConversion"/>
  </si>
  <si>
    <r>
      <t xml:space="preserve">   </t>
    </r>
    <r>
      <rPr>
        <b/>
        <sz val="11"/>
        <color theme="1"/>
        <rFont val="新細明體"/>
        <family val="1"/>
        <charset val="136"/>
      </rPr>
      <t>資產總額</t>
    </r>
    <phoneticPr fontId="1" type="noConversion"/>
  </si>
  <si>
    <t>金鳳一家資產負債表</t>
    <phoneticPr fontId="1" type="noConversion"/>
  </si>
  <si>
    <r>
      <t xml:space="preserve">2022/1/1 </t>
    </r>
    <r>
      <rPr>
        <b/>
        <sz val="11"/>
        <color theme="0"/>
        <rFont val="新細明體"/>
        <family val="1"/>
        <charset val="136"/>
      </rPr>
      <t>到</t>
    </r>
    <r>
      <rPr>
        <b/>
        <sz val="11"/>
        <color theme="0"/>
        <rFont val="Times New Roman"/>
        <family val="1"/>
      </rPr>
      <t xml:space="preserve"> 2022/12/31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</si>
  <si>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總薪資</t>
    </r>
    <phoneticPr fontId="1" type="noConversion"/>
  </si>
  <si>
    <r>
      <t xml:space="preserve">    </t>
    </r>
    <r>
      <rPr>
        <sz val="11"/>
        <color theme="1"/>
        <rFont val="新細明體"/>
        <family val="2"/>
      </rPr>
      <t>家人贈與</t>
    </r>
    <phoneticPr fontId="1" type="noConversion"/>
  </si>
  <si>
    <r>
      <t xml:space="preserve">    </t>
    </r>
    <r>
      <rPr>
        <sz val="11"/>
        <color theme="1"/>
        <rFont val="新細明體"/>
        <family val="2"/>
        <charset val="136"/>
      </rPr>
      <t>社福津貼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</si>
  <si>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修繕費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</si>
  <si>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日用品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</si>
  <si>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食物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</si>
  <si>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網路與有線電視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</si>
  <si>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300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</si>
  <si>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200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</si>
  <si>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600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</si>
  <si>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大樓管理費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</si>
  <si>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瓦斯費</t>
    </r>
    <phoneticPr fontId="1" type="noConversion"/>
  </si>
  <si>
    <r>
      <t xml:space="preserve">    </t>
    </r>
    <r>
      <rPr>
        <sz val="11"/>
        <color theme="1"/>
        <rFont val="新細明體"/>
        <family val="2"/>
      </rPr>
      <t>電費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</si>
  <si>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1,300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</si>
  <si>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停車費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</si>
  <si>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500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</si>
  <si>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不動產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房屋、地價</t>
    </r>
    <r>
      <rPr>
        <sz val="11"/>
        <color theme="1"/>
        <rFont val="Times New Roman"/>
        <family val="1"/>
      </rPr>
      <t>)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</si>
  <si>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所得稅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</si>
  <si>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健保費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</si>
  <si>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汽車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強制、責任、車體</t>
    </r>
    <r>
      <rPr>
        <sz val="11"/>
        <color theme="1"/>
        <rFont val="Times New Roman"/>
        <family val="1"/>
      </rPr>
      <t>)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</si>
  <si>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不動產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地震、火災</t>
    </r>
    <r>
      <rPr>
        <sz val="11"/>
        <color theme="1"/>
        <rFont val="Times New Roman"/>
        <family val="1"/>
      </rPr>
      <t>)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</si>
  <si>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報章雜誌、網路媒體訂閱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</si>
  <si>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其他</t>
    </r>
    <r>
      <rPr>
        <sz val="11"/>
        <color theme="1"/>
        <rFont val="Times New Roman"/>
        <family val="1"/>
      </rPr>
      <t xml:space="preserve"> 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</si>
  <si>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治裝</t>
    </r>
    <phoneticPr fontId="1" type="noConversion"/>
  </si>
  <si>
    <r>
      <t xml:space="preserve">    </t>
    </r>
    <r>
      <rPr>
        <sz val="11"/>
        <color theme="1"/>
        <rFont val="新細明體"/>
        <family val="2"/>
      </rPr>
      <t>孝親</t>
    </r>
    <phoneticPr fontId="1" type="noConversion"/>
  </si>
  <si>
    <r>
      <rPr>
        <sz val="11"/>
        <color theme="1"/>
        <rFont val="新細明體"/>
        <family val="2"/>
      </rPr>
      <t>教育</t>
    </r>
    <r>
      <rPr>
        <sz val="11"/>
        <color theme="1"/>
        <rFont val="新細明體"/>
        <family val="1"/>
        <charset val="136"/>
      </rPr>
      <t>：</t>
    </r>
    <phoneticPr fontId="1" type="noConversion"/>
  </si>
  <si>
    <r>
      <t xml:space="preserve">    </t>
    </r>
    <r>
      <rPr>
        <sz val="11"/>
        <color theme="1"/>
        <rFont val="新細明體"/>
        <family val="2"/>
      </rPr>
      <t>安親班</t>
    </r>
    <r>
      <rPr>
        <sz val="11"/>
        <color theme="1"/>
        <rFont val="新細明體"/>
        <family val="2"/>
        <charset val="136"/>
      </rPr>
      <t>、才藝、補習</t>
    </r>
    <phoneticPr fontId="1" type="noConversion"/>
  </si>
  <si>
    <r>
      <t xml:space="preserve">    </t>
    </r>
    <r>
      <rPr>
        <sz val="11"/>
        <color theme="1"/>
        <rFont val="新細明體"/>
        <family val="2"/>
        <charset val="136"/>
      </rPr>
      <t>學校</t>
    </r>
    <r>
      <rPr>
        <sz val="11"/>
        <color theme="1"/>
        <rFont val="新細明體"/>
        <family val="2"/>
      </rPr>
      <t>學費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</si>
  <si>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家事服務、清潔</t>
    </r>
    <phoneticPr fontId="1" type="noConversion"/>
  </si>
  <si>
    <r>
      <t xml:space="preserve">        </t>
    </r>
    <r>
      <rPr>
        <sz val="11"/>
        <color theme="1"/>
        <rFont val="新細明體"/>
        <family val="2"/>
      </rPr>
      <t>教育總和</t>
    </r>
    <phoneticPr fontId="1" type="noConversion"/>
  </si>
  <si>
    <r>
      <t xml:space="preserve">    </t>
    </r>
    <r>
      <rPr>
        <sz val="11"/>
        <color theme="1"/>
        <rFont val="新細明體"/>
        <family val="2"/>
      </rPr>
      <t>其他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</si>
  <si>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小孩零用錢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</si>
  <si>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通訊費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</si>
  <si>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電影、運動賽事</t>
    </r>
    <phoneticPr fontId="1" type="noConversion"/>
  </si>
  <si>
    <r>
      <t xml:space="preserve">    </t>
    </r>
    <r>
      <rPr>
        <sz val="11"/>
        <color theme="1"/>
        <rFont val="新細明體"/>
        <family val="2"/>
      </rPr>
      <t>禮品</t>
    </r>
    <r>
      <rPr>
        <sz val="11"/>
        <color theme="1"/>
        <rFont val="新細明體"/>
        <family val="1"/>
        <charset val="136"/>
      </rPr>
      <t>、紅白包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</si>
  <si>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壽險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投資型保單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</si>
  <si>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2,000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</si>
  <si>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5,000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</si>
  <si>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12,000</t>
    </r>
    <phoneticPr fontId="1" type="noConversion"/>
  </si>
  <si>
    <t>金鳳 (案主)</t>
    <phoneticPr fontId="1" type="noConversion"/>
  </si>
  <si>
    <t>阿進 (配偶)</t>
    <phoneticPr fontId="1" type="noConversion"/>
  </si>
  <si>
    <t>年齡</t>
    <phoneticPr fontId="1" type="noConversion"/>
  </si>
  <si>
    <t>職業</t>
    <phoneticPr fontId="1" type="noConversion"/>
  </si>
  <si>
    <t>照服員</t>
    <phoneticPr fontId="1" type="noConversion"/>
  </si>
  <si>
    <t>貨櫃車司機</t>
    <phoneticPr fontId="1" type="noConversion"/>
  </si>
  <si>
    <t>國1生</t>
    <phoneticPr fontId="1" type="noConversion"/>
  </si>
  <si>
    <t>小5生</t>
    <phoneticPr fontId="1" type="noConversion"/>
  </si>
  <si>
    <t>房屋</t>
    <phoneticPr fontId="1" type="noConversion"/>
  </si>
  <si>
    <t>土地</t>
    <phoneticPr fontId="1" type="noConversion"/>
  </si>
  <si>
    <t>轎車</t>
    <phoneticPr fontId="1" type="noConversion"/>
  </si>
  <si>
    <t>退休</t>
    <phoneticPr fontId="1" type="noConversion"/>
  </si>
  <si>
    <t>換車</t>
    <phoneticPr fontId="1" type="noConversion"/>
  </si>
  <si>
    <t>子女大學教育</t>
    <phoneticPr fontId="1" type="noConversion"/>
  </si>
  <si>
    <t>保守起見預備私立大學費用，每年25萬 (含學費、生活費、住宿費)</t>
    <phoneticPr fontId="1" type="noConversion"/>
  </si>
  <si>
    <t>全家出國旅遊</t>
    <phoneticPr fontId="1" type="noConversion"/>
  </si>
  <si>
    <t>孝養費用</t>
    <phoneticPr fontId="1" type="noConversion"/>
  </si>
  <si>
    <t>投資型壽險保單</t>
    <phoneticPr fontId="1" type="noConversion"/>
  </si>
  <si>
    <t>退休</t>
    <phoneticPr fontId="26" type="noConversion"/>
  </si>
  <si>
    <t>出國旅遊1</t>
    <phoneticPr fontId="26" type="noConversion"/>
  </si>
  <si>
    <t>換車2、孝養金結束</t>
    <phoneticPr fontId="26" type="noConversion"/>
  </si>
  <si>
    <t>金鳳</t>
    <phoneticPr fontId="26" type="noConversion"/>
  </si>
  <si>
    <t>阿進</t>
    <phoneticPr fontId="26" type="noConversion"/>
  </si>
  <si>
    <t>勞退提撥</t>
    <phoneticPr fontId="26" type="noConversion"/>
  </si>
  <si>
    <t>期末勞退帳戶價值</t>
    <phoneticPr fontId="26" type="noConversion"/>
  </si>
  <si>
    <t>涵涵 (女)</t>
    <phoneticPr fontId="1" type="noConversion"/>
  </si>
  <si>
    <t>韶恩 (子)</t>
    <phoneticPr fontId="1" type="noConversion"/>
  </si>
  <si>
    <t>韶恩大一</t>
    <phoneticPr fontId="26" type="noConversion"/>
  </si>
  <si>
    <t>韶恩大二</t>
    <phoneticPr fontId="26" type="noConversion"/>
  </si>
  <si>
    <t>韶恩大三、涵涵大一</t>
    <phoneticPr fontId="26" type="noConversion"/>
  </si>
  <si>
    <t>韶恩大四、涵涵大二、出國旅遊2</t>
    <phoneticPr fontId="26" type="noConversion"/>
  </si>
  <si>
    <t>涵涵大三</t>
    <phoneticPr fontId="26" type="noConversion"/>
  </si>
  <si>
    <t>涵涵大四、換車1、孝養金2萬</t>
    <phoneticPr fontId="26" type="noConversion"/>
  </si>
  <si>
    <t>一年期意外險</t>
    <phoneticPr fontId="1" type="noConversion"/>
  </si>
  <si>
    <t>終身醫療險</t>
    <phoneticPr fontId="1" type="noConversion"/>
  </si>
  <si>
    <r>
      <t xml:space="preserve">    </t>
    </r>
    <r>
      <rPr>
        <sz val="11"/>
        <color theme="1"/>
        <rFont val="微軟正黑體"/>
        <family val="1"/>
        <charset val="136"/>
      </rPr>
      <t>醫療</t>
    </r>
    <r>
      <rPr>
        <sz val="11"/>
        <color theme="1"/>
        <rFont val="新細明體"/>
        <family val="1"/>
        <charset val="136"/>
      </rPr>
      <t>險</t>
    </r>
    <r>
      <rPr>
        <sz val="11"/>
        <color theme="1"/>
        <rFont val="微軟正黑體"/>
        <family val="1"/>
        <charset val="136"/>
      </rPr>
      <t>、意外險</t>
    </r>
    <phoneticPr fontId="1" type="noConversion"/>
  </si>
  <si>
    <t>投資型保單價值</t>
    <phoneticPr fontId="26" type="noConversion"/>
  </si>
  <si>
    <t>省吃
儉用</t>
    <phoneticPr fontId="26" type="noConversion"/>
  </si>
  <si>
    <t>金鳳一家現金預算</t>
    <phoneticPr fontId="1" type="noConversion"/>
  </si>
  <si>
    <r>
      <t xml:space="preserve">2023/1/1 </t>
    </r>
    <r>
      <rPr>
        <b/>
        <sz val="11"/>
        <color theme="0"/>
        <rFont val="新細明體"/>
        <family val="1"/>
        <charset val="136"/>
      </rPr>
      <t>到</t>
    </r>
    <r>
      <rPr>
        <b/>
        <sz val="11"/>
        <color theme="0"/>
        <rFont val="Times New Roman"/>
        <family val="1"/>
      </rPr>
      <t xml:space="preserve"> 2023/12/31</t>
    </r>
    <phoneticPr fontId="1" type="noConversion"/>
  </si>
  <si>
    <t>金鳳薪資</t>
    <phoneticPr fontId="1" type="noConversion"/>
  </si>
  <si>
    <t>阿進薪資</t>
    <phoneticPr fontId="1" type="noConversion"/>
  </si>
  <si>
    <t>金鳳一家月收支計畫</t>
    <phoneticPr fontId="1" type="noConversion"/>
  </si>
  <si>
    <r>
      <t xml:space="preserve">2023/1/1 </t>
    </r>
    <r>
      <rPr>
        <sz val="11"/>
        <color theme="0"/>
        <rFont val="新細明體"/>
        <family val="1"/>
        <charset val="136"/>
      </rPr>
      <t>到</t>
    </r>
    <r>
      <rPr>
        <sz val="11"/>
        <color theme="0"/>
        <rFont val="Times New Roman"/>
        <family val="1"/>
      </rPr>
      <t xml:space="preserve"> 2023/12/31</t>
    </r>
    <phoneticPr fontId="1" type="noConversion"/>
  </si>
  <si>
    <t>一月</t>
    <phoneticPr fontId="1" type="noConversion"/>
  </si>
  <si>
    <t>二月</t>
    <phoneticPr fontId="1" type="noConversion"/>
  </si>
  <si>
    <t>三月</t>
    <phoneticPr fontId="1" type="noConversion"/>
  </si>
  <si>
    <t>四月</t>
    <phoneticPr fontId="1" type="noConversion"/>
  </si>
  <si>
    <t>五月</t>
    <phoneticPr fontId="1" type="noConversion"/>
  </si>
  <si>
    <t>六月</t>
    <phoneticPr fontId="1" type="noConversion"/>
  </si>
  <si>
    <t>七月</t>
    <phoneticPr fontId="1" type="noConversion"/>
  </si>
  <si>
    <t>八月</t>
    <phoneticPr fontId="1" type="noConversion"/>
  </si>
  <si>
    <t>九月</t>
    <phoneticPr fontId="1" type="noConversion"/>
  </si>
  <si>
    <t>十月</t>
    <phoneticPr fontId="1" type="noConversion"/>
  </si>
  <si>
    <t>十一月</t>
    <phoneticPr fontId="1" type="noConversion"/>
  </si>
  <si>
    <t>十二月</t>
    <phoneticPr fontId="1" type="noConversion"/>
  </si>
  <si>
    <t>租金</t>
    <phoneticPr fontId="1" type="noConversion"/>
  </si>
  <si>
    <t>房屋家具修繕</t>
    <phoneticPr fontId="1" type="noConversion"/>
  </si>
  <si>
    <t>停車費</t>
    <phoneticPr fontId="1" type="noConversion"/>
  </si>
  <si>
    <t>食物</t>
    <phoneticPr fontId="1" type="noConversion"/>
  </si>
  <si>
    <t>日用品</t>
    <phoneticPr fontId="1" type="noConversion"/>
  </si>
  <si>
    <t>通訊費</t>
    <phoneticPr fontId="1" type="noConversion"/>
  </si>
  <si>
    <t>網路有線電視費</t>
    <phoneticPr fontId="1" type="noConversion"/>
  </si>
  <si>
    <t>瓦斯</t>
    <phoneticPr fontId="1" type="noConversion"/>
  </si>
  <si>
    <t>電費</t>
    <phoneticPr fontId="1" type="noConversion"/>
  </si>
  <si>
    <t>房屋地價稅</t>
    <phoneticPr fontId="1" type="noConversion"/>
  </si>
  <si>
    <t>牌照燃料稅</t>
    <phoneticPr fontId="1" type="noConversion"/>
  </si>
  <si>
    <t>勞保費</t>
    <phoneticPr fontId="1" type="noConversion"/>
  </si>
  <si>
    <r>
      <rPr>
        <sz val="10"/>
        <rFont val="新細明體"/>
        <family val="1"/>
        <charset val="136"/>
      </rPr>
      <t>壽險</t>
    </r>
    <r>
      <rPr>
        <sz val="10"/>
        <rFont val="Times New Roman"/>
        <family val="1"/>
      </rPr>
      <t xml:space="preserve"> (</t>
    </r>
    <r>
      <rPr>
        <sz val="10"/>
        <rFont val="新細明體"/>
        <family val="1"/>
        <charset val="136"/>
      </rPr>
      <t>投資型保單</t>
    </r>
    <r>
      <rPr>
        <sz val="10"/>
        <rFont val="Times New Roman"/>
        <family val="1"/>
      </rPr>
      <t>)</t>
    </r>
    <phoneticPr fontId="1" type="noConversion"/>
  </si>
  <si>
    <t>醫療險意外險</t>
    <phoneticPr fontId="1" type="noConversion"/>
  </si>
  <si>
    <t>報章雜誌媒體訂閱</t>
    <phoneticPr fontId="1" type="noConversion"/>
  </si>
  <si>
    <t>治裝</t>
    <phoneticPr fontId="1" type="noConversion"/>
  </si>
  <si>
    <t>學校學費</t>
    <phoneticPr fontId="1" type="noConversion"/>
  </si>
  <si>
    <t>安親班、補習、才藝</t>
    <phoneticPr fontId="1" type="noConversion"/>
  </si>
  <si>
    <t>孝親</t>
    <phoneticPr fontId="1" type="noConversion"/>
  </si>
  <si>
    <t>小孩零用錢</t>
    <phoneticPr fontId="1" type="noConversion"/>
  </si>
  <si>
    <t>禮品紅白包</t>
    <phoneticPr fontId="1" type="noConversion"/>
  </si>
  <si>
    <t>醫藥費</t>
    <phoneticPr fontId="1" type="noConversion"/>
  </si>
  <si>
    <r>
      <rPr>
        <b/>
        <sz val="10"/>
        <rFont val="新細明體"/>
        <family val="1"/>
        <charset val="136"/>
      </rPr>
      <t>所得</t>
    </r>
    <phoneticPr fontId="1" type="noConversion"/>
  </si>
  <si>
    <r>
      <rPr>
        <b/>
        <sz val="10"/>
        <rFont val="新細明體"/>
        <family val="1"/>
        <charset val="136"/>
      </rPr>
      <t>費用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</si>
  <si>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32000</t>
    </r>
    <phoneticPr fontId="1" type="noConversion"/>
  </si>
  <si>
    <r>
      <t xml:space="preserve">    </t>
    </r>
    <r>
      <rPr>
        <sz val="10"/>
        <rFont val="新細明體"/>
        <family val="1"/>
        <charset val="136"/>
      </rPr>
      <t>自由儲蓄</t>
    </r>
    <phoneticPr fontId="1" type="noConversion"/>
  </si>
  <si>
    <r>
      <t xml:space="preserve">    </t>
    </r>
    <r>
      <rPr>
        <sz val="10"/>
        <rFont val="新細明體"/>
        <family val="1"/>
        <charset val="136"/>
      </rPr>
      <t>累積自由儲蓄</t>
    </r>
    <phoneticPr fontId="1" type="noConversion"/>
  </si>
  <si>
    <t>姓名</t>
    <phoneticPr fontId="1" type="noConversion"/>
  </si>
  <si>
    <t>https://www.etax.nat.gov.tw/etwmain/etw158w/15</t>
  </si>
  <si>
    <t xml:space="preserve">    金鳳 (照服員)</t>
    <phoneticPr fontId="1" type="noConversion"/>
  </si>
  <si>
    <t xml:space="preserve">    阿進 (貨櫃車司機)</t>
    <phoneticPr fontId="1" type="noConversion"/>
  </si>
  <si>
    <r>
      <rPr>
        <b/>
        <sz val="11"/>
        <color theme="0"/>
        <rFont val="新細明體"/>
        <family val="1"/>
        <charset val="136"/>
      </rPr>
      <t>金鳳一家損益表</t>
    </r>
    <phoneticPr fontId="1" type="noConversion"/>
  </si>
  <si>
    <r>
      <rPr>
        <b/>
        <sz val="11"/>
        <color theme="1"/>
        <rFont val="新細明體"/>
        <family val="1"/>
        <charset val="136"/>
      </rPr>
      <t>項目</t>
    </r>
    <phoneticPr fontId="1" type="noConversion"/>
  </si>
  <si>
    <r>
      <rPr>
        <b/>
        <sz val="11"/>
        <color theme="1"/>
        <rFont val="新細明體"/>
        <family val="1"/>
        <charset val="136"/>
      </rPr>
      <t>金額</t>
    </r>
    <phoneticPr fontId="1" type="noConversion"/>
  </si>
  <si>
    <r>
      <rPr>
        <b/>
        <sz val="11"/>
        <color theme="1"/>
        <rFont val="新細明體"/>
        <family val="1"/>
        <charset val="136"/>
      </rPr>
      <t>備註</t>
    </r>
    <phoneticPr fontId="1" type="noConversion"/>
  </si>
  <si>
    <r>
      <rPr>
        <b/>
        <sz val="11"/>
        <color theme="1"/>
        <rFont val="新細明體"/>
        <family val="1"/>
        <charset val="136"/>
      </rPr>
      <t>收入</t>
    </r>
    <phoneticPr fontId="1" type="noConversion"/>
  </si>
  <si>
    <r>
      <rPr>
        <sz val="11"/>
        <color theme="1"/>
        <rFont val="新細明體"/>
        <family val="1"/>
        <charset val="136"/>
      </rPr>
      <t>稅賦：</t>
    </r>
    <phoneticPr fontId="1" type="noConversion"/>
  </si>
  <si>
    <r>
      <rPr>
        <sz val="11"/>
        <color theme="1"/>
        <rFont val="新細明體"/>
        <family val="1"/>
        <charset val="136"/>
      </rPr>
      <t>其他收入：</t>
    </r>
    <phoneticPr fontId="1" type="noConversion"/>
  </si>
  <si>
    <r>
      <rPr>
        <sz val="11"/>
        <color theme="1"/>
        <rFont val="新細明體"/>
        <family val="1"/>
        <charset val="136"/>
      </rPr>
      <t>保險：</t>
    </r>
    <phoneticPr fontId="1" type="noConversion"/>
  </si>
  <si>
    <r>
      <t xml:space="preserve">    </t>
    </r>
    <r>
      <rPr>
        <sz val="11"/>
        <color theme="1"/>
        <rFont val="新細明體"/>
        <family val="2"/>
      </rPr>
      <t>租金</t>
    </r>
    <phoneticPr fontId="1" type="noConversion"/>
  </si>
  <si>
    <r>
      <rPr>
        <sz val="11"/>
        <color theme="1"/>
        <rFont val="新細明體"/>
        <family val="1"/>
        <charset val="136"/>
      </rPr>
      <t>休閒娛樂：</t>
    </r>
    <phoneticPr fontId="1" type="noConversion"/>
  </si>
  <si>
    <r>
      <rPr>
        <sz val="11"/>
        <color theme="1"/>
        <rFont val="新細明體"/>
        <family val="1"/>
        <charset val="136"/>
      </rPr>
      <t>衣物：</t>
    </r>
    <phoneticPr fontId="1" type="noConversion"/>
  </si>
  <si>
    <r>
      <t xml:space="preserve">    </t>
    </r>
    <r>
      <rPr>
        <sz val="11"/>
        <color theme="1"/>
        <rFont val="新細明體"/>
        <family val="2"/>
      </rPr>
      <t>醫藥費</t>
    </r>
    <phoneticPr fontId="1" type="noConversion"/>
  </si>
  <si>
    <r>
      <rPr>
        <b/>
        <sz val="11"/>
        <color theme="1"/>
        <rFont val="新細明體"/>
        <family val="1"/>
        <charset val="136"/>
      </rPr>
      <t>自由儲蓄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</si>
  <si>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動產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汽車牌照、燃料</t>
    </r>
    <r>
      <rPr>
        <sz val="11"/>
        <color theme="1"/>
        <rFont val="Times New Roman"/>
        <family val="1"/>
      </rPr>
      <t>)</t>
    </r>
    <phoneticPr fontId="1" type="noConversion"/>
  </si>
  <si>
    <r>
      <t xml:space="preserve">    </t>
    </r>
    <r>
      <rPr>
        <sz val="11"/>
        <color theme="1"/>
        <rFont val="新細明體"/>
        <family val="2"/>
      </rPr>
      <t>社會保險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2"/>
        <charset val="136"/>
      </rPr>
      <t>勞保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</si>
  <si>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新細明體"/>
        <family val="2"/>
      </rPr>
      <t>每月</t>
    </r>
    <r>
      <rPr>
        <sz val="11"/>
        <color theme="1"/>
        <rFont val="Times New Roman"/>
        <family val="1"/>
      </rPr>
      <t>500</t>
    </r>
    <phoneticPr fontId="1" type="noConversion"/>
  </si>
  <si>
    <r>
      <rPr>
        <b/>
        <sz val="11"/>
        <color theme="1"/>
        <rFont val="新細明體"/>
        <family val="1"/>
        <charset val="136"/>
      </rPr>
      <t>收入總和</t>
    </r>
    <phoneticPr fontId="1" type="noConversion"/>
  </si>
  <si>
    <r>
      <rPr>
        <b/>
        <sz val="11"/>
        <color theme="1"/>
        <rFont val="新細明體"/>
        <family val="1"/>
        <charset val="136"/>
      </rPr>
      <t>支出</t>
    </r>
    <phoneticPr fontId="1" type="noConversion"/>
  </si>
  <si>
    <r>
      <rPr>
        <b/>
        <sz val="11"/>
        <color theme="1"/>
        <rFont val="新細明體"/>
        <family val="1"/>
        <charset val="136"/>
      </rPr>
      <t>支出總和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</si>
  <si>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1,000</t>
    </r>
    <phoneticPr fontId="1" type="noConversion"/>
  </si>
  <si>
    <r>
      <rPr>
        <sz val="11"/>
        <color theme="1"/>
        <rFont val="新細明體"/>
        <family val="1"/>
        <charset val="136"/>
      </rPr>
      <t>每月</t>
    </r>
    <r>
      <rPr>
        <sz val="11"/>
        <color theme="1"/>
        <rFont val="Times New Roman"/>
        <family val="1"/>
      </rPr>
      <t>1,100</t>
    </r>
    <phoneticPr fontId="1" type="noConversion"/>
  </si>
  <si>
    <r>
      <rPr>
        <sz val="11"/>
        <color theme="1"/>
        <rFont val="新細明體"/>
        <family val="2"/>
      </rPr>
      <t>每月</t>
    </r>
    <r>
      <rPr>
        <sz val="11"/>
        <color theme="1"/>
        <rFont val="Times New Roman"/>
        <family val="1"/>
      </rPr>
      <t>5,000</t>
    </r>
    <phoneticPr fontId="1" type="noConversion"/>
  </si>
  <si>
    <r>
      <rPr>
        <sz val="11"/>
        <color theme="1"/>
        <rFont val="新細明體"/>
        <family val="2"/>
      </rPr>
      <t>大人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2"/>
      </rPr>
      <t>萬，小孩</t>
    </r>
    <r>
      <rPr>
        <sz val="11"/>
        <color theme="1"/>
        <rFont val="Times New Roman"/>
        <family val="1"/>
      </rPr>
      <t>5,000</t>
    </r>
    <phoneticPr fontId="1" type="noConversion"/>
  </si>
  <si>
    <r>
      <rPr>
        <sz val="11"/>
        <color theme="1"/>
        <rFont val="新細明體"/>
        <family val="2"/>
      </rPr>
      <t>每季</t>
    </r>
    <r>
      <rPr>
        <sz val="11"/>
        <color theme="1"/>
        <rFont val="Times New Roman"/>
        <family val="1"/>
      </rPr>
      <t>2,000</t>
    </r>
    <phoneticPr fontId="1" type="noConversion"/>
  </si>
  <si>
    <r>
      <rPr>
        <sz val="11"/>
        <color theme="1"/>
        <rFont val="新細明體"/>
        <family val="2"/>
      </rPr>
      <t>每人每月</t>
    </r>
    <r>
      <rPr>
        <sz val="11"/>
        <color theme="1"/>
        <rFont val="Times New Roman"/>
        <family val="1"/>
      </rPr>
      <t>5,000</t>
    </r>
    <phoneticPr fontId="1" type="noConversion"/>
  </si>
  <si>
    <r>
      <rPr>
        <sz val="11"/>
        <color theme="1"/>
        <rFont val="新細明體"/>
        <family val="2"/>
      </rPr>
      <t>每月</t>
    </r>
    <r>
      <rPr>
        <sz val="11"/>
        <color theme="1"/>
        <rFont val="Times New Roman"/>
        <family val="1"/>
      </rPr>
      <t>10,000</t>
    </r>
    <phoneticPr fontId="1" type="noConversion"/>
  </si>
  <si>
    <r>
      <rPr>
        <sz val="11"/>
        <color theme="1"/>
        <rFont val="新細明體"/>
        <family val="2"/>
      </rPr>
      <t>每月每人</t>
    </r>
    <r>
      <rPr>
        <sz val="11"/>
        <color theme="1"/>
        <rFont val="Times New Roman"/>
        <family val="1"/>
      </rPr>
      <t>1,000</t>
    </r>
    <phoneticPr fontId="1" type="noConversion"/>
  </si>
  <si>
    <r>
      <rPr>
        <sz val="11"/>
        <color theme="1"/>
        <rFont val="新細明體"/>
        <family val="2"/>
      </rPr>
      <t>每月</t>
    </r>
    <r>
      <rPr>
        <sz val="11"/>
        <color theme="1"/>
        <rFont val="Times New Roman"/>
        <family val="1"/>
      </rPr>
      <t>1,000</t>
    </r>
    <phoneticPr fontId="1" type="noConversion"/>
  </si>
  <si>
    <t>年終1.5月</t>
    <phoneticPr fontId="1" type="noConversion"/>
  </si>
  <si>
    <t>1. 韶恩上大學</t>
    <phoneticPr fontId="1" type="noConversion"/>
  </si>
  <si>
    <t xml:space="preserve">    第1年</t>
    <phoneticPr fontId="1" type="noConversion"/>
  </si>
  <si>
    <t xml:space="preserve">    第2年</t>
    <phoneticPr fontId="1" type="noConversion"/>
  </si>
  <si>
    <t xml:space="preserve">    第3年</t>
    <phoneticPr fontId="1" type="noConversion"/>
  </si>
  <si>
    <t xml:space="preserve">    第4年</t>
    <phoneticPr fontId="1" type="noConversion"/>
  </si>
  <si>
    <t>2. 涵涵上大學</t>
    <phoneticPr fontId="1" type="noConversion"/>
  </si>
  <si>
    <t>5. 退休每月生活費 (2人)</t>
    <phoneticPr fontId="1" type="noConversion"/>
  </si>
  <si>
    <t>所需支出 
(現值)</t>
    <phoneticPr fontId="1" type="noConversion"/>
  </si>
  <si>
    <t>目標
達成年度</t>
    <phoneticPr fontId="1" type="noConversion"/>
  </si>
  <si>
    <t>3. 換車</t>
    <phoneticPr fontId="1" type="noConversion"/>
  </si>
  <si>
    <t xml:space="preserve">    第1次</t>
    <phoneticPr fontId="1" type="noConversion"/>
  </si>
  <si>
    <t xml:space="preserve">    第2次</t>
    <phoneticPr fontId="1" type="noConversion"/>
  </si>
  <si>
    <t>4. 出國旅遊</t>
    <phoneticPr fontId="1" type="noConversion"/>
  </si>
  <si>
    <r>
      <t>2022</t>
    </r>
    <r>
      <rPr>
        <b/>
        <sz val="11"/>
        <color theme="1"/>
        <rFont val="新細明體"/>
        <family val="1"/>
        <charset val="136"/>
      </rPr>
      <t>金額</t>
    </r>
    <phoneticPr fontId="1" type="noConversion"/>
  </si>
  <si>
    <r>
      <rPr>
        <b/>
        <sz val="11"/>
        <color theme="1"/>
        <rFont val="新細明體"/>
        <family val="1"/>
        <charset val="136"/>
      </rPr>
      <t>調整原因</t>
    </r>
    <phoneticPr fontId="1" type="noConversion"/>
  </si>
  <si>
    <r>
      <rPr>
        <sz val="11"/>
        <color theme="1"/>
        <rFont val="新細明體"/>
        <family val="1"/>
        <charset val="136"/>
      </rPr>
      <t>水電類雜支：</t>
    </r>
    <phoneticPr fontId="1" type="noConversion"/>
  </si>
  <si>
    <r>
      <t>2023</t>
    </r>
    <r>
      <rPr>
        <b/>
        <sz val="11"/>
        <color theme="1"/>
        <rFont val="新細明體"/>
        <family val="1"/>
        <charset val="136"/>
      </rPr>
      <t>金額</t>
    </r>
    <r>
      <rPr>
        <b/>
        <sz val="11"/>
        <color theme="1"/>
        <rFont val="Times New Roman"/>
        <family val="1"/>
      </rPr>
      <t xml:space="preserve"> (</t>
    </r>
    <r>
      <rPr>
        <b/>
        <sz val="11"/>
        <color theme="1"/>
        <rFont val="新細明體"/>
        <family val="1"/>
        <charset val="136"/>
      </rPr>
      <t>預估</t>
    </r>
    <r>
      <rPr>
        <b/>
        <sz val="11"/>
        <color theme="1"/>
        <rFont val="Times New Roman"/>
        <family val="1"/>
      </rPr>
      <t>)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</si>
  <si>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金鳳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照服員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</si>
  <si>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新細明體"/>
        <family val="2"/>
      </rPr>
      <t>加薪</t>
    </r>
    <r>
      <rPr>
        <sz val="11"/>
        <color theme="1"/>
        <rFont val="Times New Roman"/>
        <family val="1"/>
      </rPr>
      <t>2%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</si>
  <si>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阿進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1"/>
        <charset val="136"/>
      </rPr>
      <t>貨櫃車司機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</si>
  <si>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新細明體"/>
        <family val="2"/>
      </rPr>
      <t>加薪</t>
    </r>
    <r>
      <rPr>
        <sz val="11"/>
        <color theme="1"/>
        <rFont val="Times New Roman"/>
        <family val="1"/>
      </rPr>
      <t>1%</t>
    </r>
    <phoneticPr fontId="1" type="noConversion"/>
  </si>
  <si>
    <r>
      <rPr>
        <sz val="11"/>
        <color theme="1"/>
        <rFont val="新細明體"/>
        <family val="2"/>
      </rPr>
      <t>調漲</t>
    </r>
    <r>
      <rPr>
        <sz val="11"/>
        <color theme="1"/>
        <rFont val="Times New Roman"/>
        <family val="1"/>
      </rPr>
      <t>2%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</si>
  <si>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家人贈與</t>
    </r>
    <phoneticPr fontId="1" type="noConversion"/>
  </si>
  <si>
    <r>
      <t xml:space="preserve">    </t>
    </r>
    <r>
      <rPr>
        <sz val="11"/>
        <color theme="1"/>
        <rFont val="新細明體"/>
        <family val="1"/>
        <charset val="136"/>
      </rPr>
      <t>社福津貼</t>
    </r>
    <phoneticPr fontId="1" type="noConversion"/>
  </si>
  <si>
    <r>
      <rPr>
        <sz val="11"/>
        <color theme="1"/>
        <rFont val="新細明體"/>
        <family val="2"/>
      </rPr>
      <t>調降一些</t>
    </r>
    <phoneticPr fontId="1" type="noConversion"/>
  </si>
  <si>
    <r>
      <rPr>
        <sz val="11"/>
        <color theme="1"/>
        <rFont val="新細明體"/>
        <family val="2"/>
      </rPr>
      <t>維持不變</t>
    </r>
    <phoneticPr fontId="1" type="noConversion"/>
  </si>
  <si>
    <r>
      <rPr>
        <sz val="11"/>
        <color theme="1"/>
        <rFont val="新細明體"/>
        <family val="2"/>
      </rPr>
      <t>減少</t>
    </r>
    <r>
      <rPr>
        <sz val="11"/>
        <color theme="1"/>
        <rFont val="Times New Roman"/>
        <family val="1"/>
      </rPr>
      <t>1/4</t>
    </r>
    <phoneticPr fontId="1" type="noConversion"/>
  </si>
  <si>
    <r>
      <rPr>
        <sz val="11"/>
        <color theme="1"/>
        <rFont val="新細明體"/>
        <family val="2"/>
      </rPr>
      <t>取消</t>
    </r>
    <phoneticPr fontId="1" type="noConversion"/>
  </si>
  <si>
    <r>
      <rPr>
        <sz val="11"/>
        <color theme="1"/>
        <rFont val="新細明體"/>
        <family val="2"/>
      </rPr>
      <t>每月省</t>
    </r>
    <r>
      <rPr>
        <sz val="11"/>
        <color theme="1"/>
        <rFont val="Times New Roman"/>
        <family val="1"/>
      </rPr>
      <t>100</t>
    </r>
    <phoneticPr fontId="1" type="noConversion"/>
  </si>
  <si>
    <r>
      <rPr>
        <sz val="11"/>
        <color theme="1"/>
        <rFont val="新細明體"/>
        <family val="2"/>
      </rPr>
      <t>所得增加</t>
    </r>
    <phoneticPr fontId="1" type="noConversion"/>
  </si>
  <si>
    <r>
      <rPr>
        <sz val="11"/>
        <color theme="1"/>
        <rFont val="新細明體"/>
        <family val="2"/>
      </rPr>
      <t>調降</t>
    </r>
    <r>
      <rPr>
        <sz val="11"/>
        <color theme="1"/>
        <rFont val="Times New Roman"/>
        <family val="1"/>
      </rPr>
      <t>20%</t>
    </r>
    <phoneticPr fontId="1" type="noConversion"/>
  </si>
  <si>
    <r>
      <t>5,000/</t>
    </r>
    <r>
      <rPr>
        <sz val="11"/>
        <color theme="1"/>
        <rFont val="新細明體"/>
        <family val="2"/>
      </rPr>
      <t>每人每月</t>
    </r>
    <phoneticPr fontId="1" type="noConversion"/>
  </si>
  <si>
    <r>
      <rPr>
        <sz val="11"/>
        <color theme="1"/>
        <rFont val="新細明體"/>
        <family val="2"/>
      </rPr>
      <t>大人各減少</t>
    </r>
    <r>
      <rPr>
        <sz val="11"/>
        <color theme="1"/>
        <rFont val="Times New Roman"/>
        <family val="1"/>
      </rPr>
      <t>2,000</t>
    </r>
    <phoneticPr fontId="1" type="noConversion"/>
  </si>
  <si>
    <r>
      <rPr>
        <b/>
        <sz val="10"/>
        <rFont val="新細明體"/>
        <family val="1"/>
        <charset val="136"/>
      </rPr>
      <t>合計</t>
    </r>
    <phoneticPr fontId="1" type="noConversion"/>
  </si>
  <si>
    <t>大幅下降</t>
    <phoneticPr fontId="1" type="noConversion"/>
  </si>
  <si>
    <t>薪資與勞健保投保資料</t>
    <phoneticPr fontId="1" type="noConversion"/>
  </si>
  <si>
    <t>1. 家庭成員基本資料</t>
    <phoneticPr fontId="1" type="noConversion"/>
  </si>
  <si>
    <t>勞保老年年金試算</t>
    <phoneticPr fontId="1" type="noConversion"/>
  </si>
  <si>
    <t>2. 資產狀況</t>
    <phoneticPr fontId="1" type="noConversion"/>
  </si>
  <si>
    <t>項目</t>
    <phoneticPr fontId="1" type="noConversion"/>
  </si>
  <si>
    <t>說明</t>
    <phoneticPr fontId="1" type="noConversion"/>
  </si>
  <si>
    <t>農地，祖產繼承，出租他人耕種，每年租金50,000</t>
    <phoneticPr fontId="1" type="noConversion"/>
  </si>
  <si>
    <t>新車，貸款56萬，分60期還款，年利率3%，每月約還10,000元</t>
    <phoneticPr fontId="1" type="noConversion"/>
  </si>
  <si>
    <t>3. 金鳳的人身保單</t>
    <phoneticPr fontId="1" type="noConversion"/>
  </si>
  <si>
    <t>險種</t>
    <phoneticPr fontId="1" type="noConversion"/>
  </si>
  <si>
    <t>保費每年5,000，可投保至75歲</t>
    <phoneticPr fontId="1" type="noConversion"/>
  </si>
  <si>
    <t>保額300萬，月繳保費5,000，還須繳費10年</t>
    <phoneticPr fontId="1" type="noConversion"/>
  </si>
  <si>
    <t>保費每年12,000，還須繳費20年</t>
    <phoneticPr fontId="1" type="noConversion"/>
  </si>
  <si>
    <t>月薪40,000，預計每年成長2%，年終1.5個月，勞保年資16年，勞健保投保薪資為41,000。假設65歲退休時年資41年，最高60個投保月薪資平均45,800</t>
    <phoneticPr fontId="1" type="noConversion"/>
  </si>
  <si>
    <t>論件計酬，過去三年平均月薪約70,000，勞保年資16年，勞健保投保薪資為38,200。假設65歲退休時年資41年，最高60個月投保薪資平均38,200</t>
    <phoneticPr fontId="1" type="noConversion"/>
  </si>
  <si>
    <t>4. 理財目標</t>
    <phoneticPr fontId="1" type="noConversion"/>
  </si>
  <si>
    <t>10年換車一次，共2次，每次預算70萬</t>
    <phoneticPr fontId="1" type="noConversion"/>
  </si>
  <si>
    <t>4年、8年後各一次，每次預算20萬</t>
    <phoneticPr fontId="1" type="noConversion"/>
  </si>
  <si>
    <t>目前每月10,000元孝養金，希望10年後父母年邁時提高至20,000元，再持續10年 (不隨物價調整)</t>
    <phoneticPr fontId="1" type="noConversion"/>
  </si>
  <si>
    <t>目標達成年度
所需支出
 (假設物價年增率為2%)</t>
    <phoneticPr fontId="1" type="noConversion"/>
  </si>
  <si>
    <t>目標達成年度
所需支出
 (假設物價年增率為3%)</t>
    <phoneticPr fontId="1" type="noConversion"/>
  </si>
  <si>
    <r>
      <rPr>
        <b/>
        <sz val="11"/>
        <rFont val="新細明體"/>
        <family val="1"/>
        <charset val="136"/>
      </rPr>
      <t>基本假設</t>
    </r>
    <phoneticPr fontId="1" type="noConversion"/>
  </si>
  <si>
    <r>
      <rPr>
        <b/>
        <sz val="11"/>
        <color theme="1"/>
        <rFont val="新細明體"/>
        <family val="1"/>
        <charset val="136"/>
      </rPr>
      <t>規劃年度</t>
    </r>
    <phoneticPr fontId="26" type="noConversion"/>
  </si>
  <si>
    <r>
      <rPr>
        <b/>
        <sz val="11"/>
        <color theme="1"/>
        <rFont val="新細明體"/>
        <family val="1"/>
        <charset val="136"/>
      </rPr>
      <t>金鳳
年齡</t>
    </r>
    <phoneticPr fontId="26" type="noConversion"/>
  </si>
  <si>
    <r>
      <rPr>
        <b/>
        <sz val="11"/>
        <color theme="1"/>
        <rFont val="新細明體"/>
        <family val="1"/>
        <charset val="136"/>
      </rPr>
      <t>阿進
年齡</t>
    </r>
    <phoneticPr fontId="26" type="noConversion"/>
  </si>
  <si>
    <r>
      <rPr>
        <b/>
        <sz val="11"/>
        <color theme="1"/>
        <rFont val="新細明體"/>
        <family val="1"/>
        <charset val="136"/>
      </rPr>
      <t>韶恩
年齡</t>
    </r>
    <phoneticPr fontId="26" type="noConversion"/>
  </si>
  <si>
    <r>
      <rPr>
        <b/>
        <sz val="11"/>
        <color theme="1"/>
        <rFont val="新細明體"/>
        <family val="1"/>
        <charset val="136"/>
      </rPr>
      <t>涵涵
年齡</t>
    </r>
    <phoneticPr fontId="1" type="noConversion"/>
  </si>
  <si>
    <r>
      <rPr>
        <b/>
        <sz val="11"/>
        <color theme="1"/>
        <rFont val="新細明體"/>
        <family val="1"/>
        <charset val="136"/>
      </rPr>
      <t>該年理財目標</t>
    </r>
    <phoneticPr fontId="26" type="noConversion"/>
  </si>
  <si>
    <r>
      <rPr>
        <b/>
        <sz val="11"/>
        <color theme="0"/>
        <rFont val="新細明體"/>
        <family val="1"/>
        <charset val="136"/>
      </rPr>
      <t>期初
生息資產</t>
    </r>
    <phoneticPr fontId="1" type="noConversion"/>
  </si>
  <si>
    <r>
      <rPr>
        <b/>
        <sz val="11"/>
        <color theme="0"/>
        <rFont val="新細明體"/>
        <family val="1"/>
        <charset val="136"/>
      </rPr>
      <t>投資
報酬率</t>
    </r>
    <phoneticPr fontId="26" type="noConversion"/>
  </si>
  <si>
    <r>
      <rPr>
        <b/>
        <sz val="11"/>
        <color theme="1"/>
        <rFont val="新細明體"/>
        <family val="1"/>
        <charset val="136"/>
      </rPr>
      <t>薪資收入</t>
    </r>
    <phoneticPr fontId="26" type="noConversion"/>
  </si>
  <si>
    <r>
      <rPr>
        <b/>
        <sz val="11"/>
        <color theme="1"/>
        <rFont val="新細明體"/>
        <family val="1"/>
        <charset val="136"/>
      </rPr>
      <t>投資
收入</t>
    </r>
    <phoneticPr fontId="26" type="noConversion"/>
  </si>
  <si>
    <r>
      <rPr>
        <b/>
        <sz val="11"/>
        <color theme="1"/>
        <rFont val="新細明體"/>
        <family val="1"/>
        <charset val="136"/>
      </rPr>
      <t>租金
收入</t>
    </r>
    <phoneticPr fontId="26" type="noConversion"/>
  </si>
  <si>
    <r>
      <rPr>
        <b/>
        <sz val="11"/>
        <color theme="1"/>
        <rFont val="新細明體"/>
        <family val="1"/>
        <charset val="136"/>
      </rPr>
      <t xml:space="preserve">勞保
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新細明體"/>
        <family val="1"/>
        <charset val="136"/>
      </rPr>
      <t>金鳳</t>
    </r>
    <r>
      <rPr>
        <b/>
        <sz val="11"/>
        <color theme="1"/>
        <rFont val="Times New Roman"/>
        <family val="1"/>
      </rPr>
      <t>)</t>
    </r>
    <phoneticPr fontId="26" type="noConversion"/>
  </si>
  <si>
    <r>
      <rPr>
        <b/>
        <sz val="11"/>
        <color theme="1"/>
        <rFont val="新細明體"/>
        <family val="1"/>
        <charset val="136"/>
      </rPr>
      <t xml:space="preserve">勞保
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新細明體"/>
        <family val="1"/>
        <charset val="136"/>
      </rPr>
      <t>阿進</t>
    </r>
    <r>
      <rPr>
        <b/>
        <sz val="11"/>
        <color theme="1"/>
        <rFont val="Times New Roman"/>
        <family val="1"/>
      </rPr>
      <t>)</t>
    </r>
    <phoneticPr fontId="26" type="noConversion"/>
  </si>
  <si>
    <r>
      <rPr>
        <b/>
        <sz val="11"/>
        <color theme="1"/>
        <rFont val="新細明體"/>
        <family val="1"/>
        <charset val="136"/>
      </rPr>
      <t xml:space="preserve">勞退
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新細明體"/>
        <family val="1"/>
        <charset val="136"/>
      </rPr>
      <t>金鳳</t>
    </r>
    <r>
      <rPr>
        <b/>
        <sz val="11"/>
        <color theme="1"/>
        <rFont val="Times New Roman"/>
        <family val="1"/>
      </rPr>
      <t>)</t>
    </r>
    <phoneticPr fontId="26" type="noConversion"/>
  </si>
  <si>
    <r>
      <rPr>
        <b/>
        <sz val="11"/>
        <color theme="1"/>
        <rFont val="新細明體"/>
        <family val="1"/>
        <charset val="136"/>
      </rPr>
      <t xml:space="preserve">勞退
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新細明體"/>
        <family val="1"/>
        <charset val="136"/>
      </rPr>
      <t>阿進</t>
    </r>
    <r>
      <rPr>
        <b/>
        <sz val="11"/>
        <color theme="1"/>
        <rFont val="Times New Roman"/>
        <family val="1"/>
      </rPr>
      <t>)</t>
    </r>
    <phoneticPr fontId="26" type="noConversion"/>
  </si>
  <si>
    <r>
      <rPr>
        <b/>
        <sz val="11"/>
        <color theme="1"/>
        <rFont val="新細明體"/>
        <family val="1"/>
        <charset val="136"/>
      </rPr>
      <t>保單
解約</t>
    </r>
    <phoneticPr fontId="26" type="noConversion"/>
  </si>
  <si>
    <r>
      <rPr>
        <b/>
        <sz val="11"/>
        <color theme="0"/>
        <rFont val="新細明體"/>
        <family val="1"/>
        <charset val="136"/>
      </rPr>
      <t>收入
合計</t>
    </r>
    <phoneticPr fontId="26" type="noConversion"/>
  </si>
  <si>
    <r>
      <rPr>
        <b/>
        <sz val="11"/>
        <color theme="1"/>
        <rFont val="新細明體"/>
        <family val="1"/>
        <charset val="136"/>
      </rPr>
      <t>支出</t>
    </r>
    <phoneticPr fontId="26" type="noConversion"/>
  </si>
  <si>
    <r>
      <rPr>
        <b/>
        <sz val="11"/>
        <color theme="0"/>
        <rFont val="新細明體"/>
        <family val="1"/>
        <charset val="136"/>
      </rPr>
      <t>支出
合計</t>
    </r>
    <phoneticPr fontId="26" type="noConversion"/>
  </si>
  <si>
    <r>
      <rPr>
        <b/>
        <sz val="11"/>
        <color theme="0"/>
        <rFont val="新細明體"/>
        <family val="1"/>
        <charset val="136"/>
      </rPr>
      <t>自由
儲蓄</t>
    </r>
    <phoneticPr fontId="26" type="noConversion"/>
  </si>
  <si>
    <r>
      <rPr>
        <b/>
        <sz val="11"/>
        <color theme="0"/>
        <rFont val="新細明體"/>
        <family val="1"/>
        <charset val="136"/>
      </rPr>
      <t>期末
生息資產</t>
    </r>
    <phoneticPr fontId="26" type="noConversion"/>
  </si>
  <si>
    <r>
      <rPr>
        <b/>
        <sz val="11"/>
        <color theme="1"/>
        <rFont val="新細明體"/>
        <family val="1"/>
        <charset val="136"/>
      </rPr>
      <t>勞退提撥</t>
    </r>
    <phoneticPr fontId="26" type="noConversion"/>
  </si>
  <si>
    <r>
      <rPr>
        <b/>
        <sz val="11"/>
        <color theme="1"/>
        <rFont val="新細明體"/>
        <family val="1"/>
        <charset val="136"/>
      </rPr>
      <t>期末勞退帳戶價值</t>
    </r>
    <phoneticPr fontId="26" type="noConversion"/>
  </si>
  <si>
    <r>
      <rPr>
        <b/>
        <sz val="11"/>
        <color theme="1"/>
        <rFont val="新細明體"/>
        <family val="1"/>
        <charset val="136"/>
      </rPr>
      <t>投資型保單價值</t>
    </r>
    <phoneticPr fontId="26" type="noConversion"/>
  </si>
  <si>
    <r>
      <rPr>
        <b/>
        <sz val="11"/>
        <rFont val="新細明體"/>
        <family val="1"/>
        <charset val="136"/>
      </rPr>
      <t>項目</t>
    </r>
    <phoneticPr fontId="1" type="noConversion"/>
  </si>
  <si>
    <r>
      <rPr>
        <b/>
        <sz val="11"/>
        <color theme="1"/>
        <rFont val="新細明體"/>
        <family val="1"/>
        <charset val="136"/>
      </rPr>
      <t>金鳳</t>
    </r>
    <phoneticPr fontId="26" type="noConversion"/>
  </si>
  <si>
    <r>
      <rPr>
        <b/>
        <sz val="11"/>
        <color theme="1"/>
        <rFont val="新細明體"/>
        <family val="1"/>
        <charset val="136"/>
      </rPr>
      <t>阿進</t>
    </r>
    <phoneticPr fontId="26" type="noConversion"/>
  </si>
  <si>
    <r>
      <rPr>
        <b/>
        <sz val="11"/>
        <color theme="1"/>
        <rFont val="新細明體"/>
        <family val="1"/>
        <charset val="136"/>
      </rPr>
      <t>房貸</t>
    </r>
    <phoneticPr fontId="26" type="noConversion"/>
  </si>
  <si>
    <r>
      <rPr>
        <b/>
        <sz val="11"/>
        <color theme="1"/>
        <rFont val="新細明體"/>
        <family val="1"/>
        <charset val="136"/>
      </rPr>
      <t>其他居住</t>
    </r>
    <phoneticPr fontId="26" type="noConversion"/>
  </si>
  <si>
    <r>
      <rPr>
        <b/>
        <sz val="11"/>
        <color theme="1"/>
        <rFont val="新細明體"/>
        <family val="1"/>
        <charset val="136"/>
      </rPr>
      <t>車貸</t>
    </r>
    <phoneticPr fontId="26" type="noConversion"/>
  </si>
  <si>
    <r>
      <rPr>
        <b/>
        <sz val="11"/>
        <color theme="1"/>
        <rFont val="新細明體"/>
        <family val="1"/>
        <charset val="136"/>
      </rPr>
      <t>其他交通</t>
    </r>
    <phoneticPr fontId="26" type="noConversion"/>
  </si>
  <si>
    <r>
      <rPr>
        <b/>
        <sz val="11"/>
        <color theme="1"/>
        <rFont val="新細明體"/>
        <family val="1"/>
        <charset val="136"/>
      </rPr>
      <t>食物</t>
    </r>
    <phoneticPr fontId="26" type="noConversion"/>
  </si>
  <si>
    <r>
      <rPr>
        <b/>
        <sz val="11"/>
        <color theme="1"/>
        <rFont val="新細明體"/>
        <family val="1"/>
        <charset val="136"/>
      </rPr>
      <t>水電</t>
    </r>
    <phoneticPr fontId="26" type="noConversion"/>
  </si>
  <si>
    <r>
      <rPr>
        <b/>
        <sz val="11"/>
        <color theme="1"/>
        <rFont val="新細明體"/>
        <family val="1"/>
        <charset val="136"/>
      </rPr>
      <t>稅賦</t>
    </r>
    <phoneticPr fontId="26" type="noConversion"/>
  </si>
  <si>
    <r>
      <rPr>
        <b/>
        <sz val="11"/>
        <color theme="1"/>
        <rFont val="新細明體"/>
        <family val="1"/>
        <charset val="136"/>
      </rPr>
      <t>保險</t>
    </r>
    <phoneticPr fontId="26" type="noConversion"/>
  </si>
  <si>
    <r>
      <rPr>
        <b/>
        <sz val="11"/>
        <color theme="1"/>
        <rFont val="新細明體"/>
        <family val="1"/>
        <charset val="136"/>
      </rPr>
      <t>娛樂</t>
    </r>
    <phoneticPr fontId="26" type="noConversion"/>
  </si>
  <si>
    <r>
      <rPr>
        <b/>
        <sz val="11"/>
        <color theme="1"/>
        <rFont val="新細明體"/>
        <family val="1"/>
        <charset val="136"/>
      </rPr>
      <t>衣物</t>
    </r>
    <phoneticPr fontId="26" type="noConversion"/>
  </si>
  <si>
    <r>
      <rPr>
        <b/>
        <sz val="11"/>
        <color theme="1"/>
        <rFont val="新細明體"/>
        <family val="1"/>
        <charset val="136"/>
      </rPr>
      <t>教育</t>
    </r>
    <phoneticPr fontId="26" type="noConversion"/>
  </si>
  <si>
    <r>
      <rPr>
        <b/>
        <sz val="11"/>
        <color theme="1"/>
        <rFont val="新細明體"/>
        <family val="1"/>
        <charset val="136"/>
      </rPr>
      <t>孝養</t>
    </r>
    <phoneticPr fontId="26" type="noConversion"/>
  </si>
  <si>
    <r>
      <rPr>
        <b/>
        <sz val="11"/>
        <color theme="1"/>
        <rFont val="新細明體"/>
        <family val="1"/>
        <charset val="136"/>
      </rPr>
      <t>其他</t>
    </r>
    <phoneticPr fontId="26" type="noConversion"/>
  </si>
  <si>
    <r>
      <rPr>
        <b/>
        <sz val="11"/>
        <color theme="1"/>
        <rFont val="新細明體"/>
        <family val="1"/>
        <charset val="136"/>
      </rPr>
      <t>退休開支</t>
    </r>
    <phoneticPr fontId="26" type="noConversion"/>
  </si>
  <si>
    <r>
      <rPr>
        <b/>
        <sz val="11"/>
        <color theme="1"/>
        <rFont val="新細明體"/>
        <family val="1"/>
        <charset val="136"/>
      </rPr>
      <t>理財目標</t>
    </r>
    <phoneticPr fontId="26" type="noConversion"/>
  </si>
  <si>
    <r>
      <rPr>
        <sz val="11"/>
        <color theme="1"/>
        <rFont val="新細明體"/>
        <family val="2"/>
      </rPr>
      <t>物價年增率</t>
    </r>
    <phoneticPr fontId="26" type="noConversion"/>
  </si>
  <si>
    <r>
      <rPr>
        <sz val="11"/>
        <color theme="1"/>
        <rFont val="新細明體"/>
        <family val="2"/>
      </rPr>
      <t>薪資年增率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2"/>
      </rPr>
      <t>金鳳</t>
    </r>
    <r>
      <rPr>
        <sz val="11"/>
        <color theme="1"/>
        <rFont val="Times New Roman"/>
        <family val="1"/>
      </rPr>
      <t>)</t>
    </r>
    <phoneticPr fontId="26" type="noConversion"/>
  </si>
  <si>
    <r>
      <rPr>
        <sz val="11"/>
        <color theme="1"/>
        <rFont val="新細明體"/>
        <family val="2"/>
      </rPr>
      <t>薪資年增率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2"/>
      </rPr>
      <t>阿進</t>
    </r>
    <r>
      <rPr>
        <sz val="11"/>
        <color theme="1"/>
        <rFont val="Times New Roman"/>
        <family val="1"/>
      </rPr>
      <t>)</t>
    </r>
    <phoneticPr fontId="26" type="noConversion"/>
  </si>
  <si>
    <r>
      <rPr>
        <sz val="11"/>
        <color theme="1"/>
        <rFont val="新細明體"/>
        <family val="2"/>
      </rPr>
      <t>勞退報酬率</t>
    </r>
    <phoneticPr fontId="26" type="noConversion"/>
  </si>
  <si>
    <r>
      <rPr>
        <sz val="11"/>
        <color theme="1"/>
        <rFont val="新細明體"/>
        <family val="2"/>
      </rPr>
      <t>投資型保單報酬率</t>
    </r>
    <phoneticPr fontId="26" type="noConversion"/>
  </si>
  <si>
    <r>
      <rPr>
        <sz val="11"/>
        <color theme="1"/>
        <rFont val="新細明體"/>
        <family val="2"/>
      </rPr>
      <t>出國旅遊</t>
    </r>
    <r>
      <rPr>
        <sz val="11"/>
        <color theme="1"/>
        <rFont val="Times New Roman"/>
        <family val="1"/>
      </rPr>
      <t>1</t>
    </r>
    <phoneticPr fontId="26" type="noConversion"/>
  </si>
  <si>
    <r>
      <rPr>
        <sz val="11"/>
        <color theme="1"/>
        <rFont val="新細明體"/>
        <family val="2"/>
      </rPr>
      <t>韶恩大一</t>
    </r>
    <phoneticPr fontId="26" type="noConversion"/>
  </si>
  <si>
    <r>
      <rPr>
        <sz val="11"/>
        <color theme="1"/>
        <rFont val="新細明體"/>
        <family val="2"/>
      </rPr>
      <t>韶恩大二</t>
    </r>
    <phoneticPr fontId="26" type="noConversion"/>
  </si>
  <si>
    <r>
      <rPr>
        <sz val="11"/>
        <color theme="1"/>
        <rFont val="新細明體"/>
        <family val="2"/>
      </rPr>
      <t>韶恩大三、涵涵大一</t>
    </r>
    <phoneticPr fontId="26" type="noConversion"/>
  </si>
  <si>
    <r>
      <rPr>
        <sz val="11"/>
        <color theme="1"/>
        <rFont val="新細明體"/>
        <family val="2"/>
      </rPr>
      <t>韶恩大四、涵涵大二、出國旅遊</t>
    </r>
    <r>
      <rPr>
        <sz val="11"/>
        <color theme="1"/>
        <rFont val="Times New Roman"/>
        <family val="1"/>
      </rPr>
      <t>2</t>
    </r>
    <phoneticPr fontId="26" type="noConversion"/>
  </si>
  <si>
    <r>
      <rPr>
        <sz val="11"/>
        <color theme="1"/>
        <rFont val="新細明體"/>
        <family val="2"/>
      </rPr>
      <t>涵涵大三</t>
    </r>
    <phoneticPr fontId="26" type="noConversion"/>
  </si>
  <si>
    <r>
      <rPr>
        <sz val="11"/>
        <color theme="1"/>
        <rFont val="新細明體"/>
        <family val="2"/>
      </rPr>
      <t>涵涵大四、換車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2"/>
      </rPr>
      <t>、孝養金</t>
    </r>
    <r>
      <rPr>
        <sz val="11"/>
        <color theme="1"/>
        <rFont val="Times New Roman"/>
        <family val="1"/>
      </rPr>
      <t>2</t>
    </r>
    <r>
      <rPr>
        <sz val="11"/>
        <color theme="1"/>
        <rFont val="新細明體"/>
        <family val="2"/>
      </rPr>
      <t>萬</t>
    </r>
    <phoneticPr fontId="26" type="noConversion"/>
  </si>
  <si>
    <r>
      <rPr>
        <sz val="11"/>
        <color theme="1"/>
        <rFont val="新細明體"/>
        <family val="2"/>
      </rPr>
      <t>換車</t>
    </r>
    <r>
      <rPr>
        <sz val="11"/>
        <color theme="1"/>
        <rFont val="Times New Roman"/>
        <family val="1"/>
      </rPr>
      <t>2</t>
    </r>
    <r>
      <rPr>
        <sz val="11"/>
        <color theme="1"/>
        <rFont val="新細明體"/>
        <family val="2"/>
      </rPr>
      <t>、孝養金結束</t>
    </r>
    <phoneticPr fontId="26" type="noConversion"/>
  </si>
  <si>
    <r>
      <rPr>
        <sz val="11"/>
        <color theme="1"/>
        <rFont val="新細明體"/>
        <family val="2"/>
      </rPr>
      <t>退休</t>
    </r>
    <phoneticPr fontId="26" type="noConversion"/>
  </si>
  <si>
    <t>設定</t>
    <phoneticPr fontId="1" type="noConversion"/>
  </si>
  <si>
    <r>
      <rPr>
        <b/>
        <sz val="11"/>
        <color theme="1"/>
        <rFont val="新細明體"/>
        <family val="1"/>
        <charset val="136"/>
      </rPr>
      <t>基本假設</t>
    </r>
    <phoneticPr fontId="26" type="noConversion"/>
  </si>
  <si>
    <r>
      <rPr>
        <b/>
        <sz val="11"/>
        <color theme="1"/>
        <rFont val="新細明體"/>
        <family val="1"/>
        <charset val="136"/>
      </rPr>
      <t>項目</t>
    </r>
    <phoneticPr fontId="1" type="noConversion"/>
  </si>
  <si>
    <r>
      <rPr>
        <b/>
        <sz val="11"/>
        <color theme="1"/>
        <rFont val="新細明體"/>
        <family val="1"/>
        <charset val="136"/>
      </rPr>
      <t>設定</t>
    </r>
    <phoneticPr fontId="1" type="noConversion"/>
  </si>
  <si>
    <r>
      <rPr>
        <b/>
        <sz val="11"/>
        <color theme="1"/>
        <rFont val="新細明體"/>
        <family val="2"/>
      </rPr>
      <t>勞退提撥</t>
    </r>
    <phoneticPr fontId="26" type="noConversion"/>
  </si>
  <si>
    <r>
      <rPr>
        <b/>
        <sz val="11"/>
        <color theme="1"/>
        <rFont val="新細明體"/>
        <family val="2"/>
      </rPr>
      <t>期末勞退帳戶價值</t>
    </r>
    <phoneticPr fontId="26" type="noConversion"/>
  </si>
  <si>
    <r>
      <rPr>
        <b/>
        <sz val="11"/>
        <color theme="1"/>
        <rFont val="新細明體"/>
        <family val="2"/>
      </rPr>
      <t>投資型保單價值</t>
    </r>
    <phoneticPr fontId="26" type="noConversion"/>
  </si>
  <si>
    <r>
      <rPr>
        <b/>
        <sz val="11"/>
        <color theme="1"/>
        <rFont val="新細明體"/>
        <family val="2"/>
      </rPr>
      <t>金鳳</t>
    </r>
    <phoneticPr fontId="26" type="noConversion"/>
  </si>
  <si>
    <r>
      <rPr>
        <b/>
        <sz val="11"/>
        <color theme="1"/>
        <rFont val="新細明體"/>
        <family val="2"/>
      </rPr>
      <t>阿進</t>
    </r>
    <phoneticPr fontId="26" type="noConversion"/>
  </si>
  <si>
    <r>
      <rPr>
        <b/>
        <sz val="11"/>
        <color theme="1"/>
        <rFont val="新細明體"/>
        <family val="2"/>
      </rPr>
      <t>每月金額</t>
    </r>
    <phoneticPr fontId="1" type="noConversion"/>
  </si>
  <si>
    <t>屏東透天厝，自住，屋齡5年，每月房貸還款約32,000 (年利率2%)，尚餘180期，未償還餘額約505萬</t>
    <phoneticPr fontId="1" type="noConversion"/>
  </si>
  <si>
    <t>65歲夫妻全退休。兩人每月生活水準合計為4萬，持續到90歲</t>
    <phoneticPr fontId="1" type="noConversion"/>
  </si>
  <si>
    <r>
      <rPr>
        <b/>
        <sz val="11"/>
        <color theme="0"/>
        <rFont val="新細明體"/>
        <family val="1"/>
        <charset val="136"/>
      </rPr>
      <t>參數名稱</t>
    </r>
    <phoneticPr fontId="1" type="noConversion"/>
  </si>
  <si>
    <r>
      <rPr>
        <b/>
        <sz val="11"/>
        <color theme="0"/>
        <rFont val="新細明體"/>
        <family val="1"/>
        <charset val="136"/>
      </rPr>
      <t>參數設定值</t>
    </r>
    <phoneticPr fontId="1" type="noConversion"/>
  </si>
  <si>
    <r>
      <rPr>
        <b/>
        <sz val="11"/>
        <color theme="0"/>
        <rFont val="新細明體"/>
        <family val="1"/>
        <charset val="136"/>
      </rPr>
      <t>規劃年度</t>
    </r>
    <phoneticPr fontId="1" type="noConversion"/>
  </si>
  <si>
    <r>
      <rPr>
        <b/>
        <sz val="11"/>
        <color theme="0"/>
        <rFont val="新細明體"/>
        <family val="1"/>
        <charset val="136"/>
      </rPr>
      <t>理財目標</t>
    </r>
    <phoneticPr fontId="1" type="noConversion"/>
  </si>
  <si>
    <r>
      <rPr>
        <b/>
        <sz val="11"/>
        <color theme="0"/>
        <rFont val="新細明體"/>
        <family val="1"/>
        <charset val="136"/>
      </rPr>
      <t>年初
生息資產</t>
    </r>
    <phoneticPr fontId="1" type="noConversion"/>
  </si>
  <si>
    <r>
      <rPr>
        <b/>
        <sz val="11"/>
        <color theme="0"/>
        <rFont val="新細明體"/>
        <family val="1"/>
        <charset val="136"/>
      </rPr>
      <t>生息資產
收益率</t>
    </r>
    <phoneticPr fontId="1" type="noConversion"/>
  </si>
  <si>
    <r>
      <rPr>
        <b/>
        <sz val="11"/>
        <color theme="0"/>
        <rFont val="新細明體"/>
        <family val="1"/>
        <charset val="136"/>
      </rPr>
      <t>工作收入</t>
    </r>
    <phoneticPr fontId="1" type="noConversion"/>
  </si>
  <si>
    <r>
      <rPr>
        <b/>
        <sz val="11"/>
        <color theme="0"/>
        <rFont val="新細明體"/>
        <family val="1"/>
        <charset val="136"/>
      </rPr>
      <t>生息資產
收入</t>
    </r>
    <phoneticPr fontId="1" type="noConversion"/>
  </si>
  <si>
    <r>
      <rPr>
        <b/>
        <sz val="11"/>
        <color theme="0"/>
        <rFont val="新細明體"/>
        <family val="1"/>
        <charset val="136"/>
      </rPr>
      <t>總收入</t>
    </r>
    <phoneticPr fontId="1" type="noConversion"/>
  </si>
  <si>
    <r>
      <rPr>
        <b/>
        <sz val="11"/>
        <color theme="0"/>
        <rFont val="新細明體"/>
        <family val="1"/>
        <charset val="136"/>
      </rPr>
      <t>一般支出</t>
    </r>
    <phoneticPr fontId="1" type="noConversion"/>
  </si>
  <si>
    <r>
      <rPr>
        <b/>
        <sz val="11"/>
        <color theme="0"/>
        <rFont val="新細明體"/>
        <family val="1"/>
        <charset val="136"/>
      </rPr>
      <t>理財目標
支出</t>
    </r>
    <phoneticPr fontId="1" type="noConversion"/>
  </si>
  <si>
    <r>
      <rPr>
        <b/>
        <sz val="11"/>
        <color theme="0"/>
        <rFont val="新細明體"/>
        <family val="1"/>
        <charset val="136"/>
      </rPr>
      <t>總支出</t>
    </r>
    <phoneticPr fontId="1" type="noConversion"/>
  </si>
  <si>
    <r>
      <rPr>
        <b/>
        <sz val="11"/>
        <color theme="0"/>
        <rFont val="新細明體"/>
        <family val="1"/>
        <charset val="136"/>
      </rPr>
      <t>自由儲蓄</t>
    </r>
    <phoneticPr fontId="1" type="noConversion"/>
  </si>
  <si>
    <r>
      <rPr>
        <b/>
        <sz val="11"/>
        <color theme="0"/>
        <rFont val="新細明體"/>
        <family val="1"/>
        <charset val="136"/>
      </rPr>
      <t>年底
生息資產</t>
    </r>
    <phoneticPr fontId="1" type="noConversion"/>
  </si>
  <si>
    <r>
      <rPr>
        <sz val="11"/>
        <color theme="1"/>
        <rFont val="新細明體"/>
        <family val="2"/>
      </rPr>
      <t>薪資年增率</t>
    </r>
    <phoneticPr fontId="1" type="noConversion"/>
  </si>
  <si>
    <r>
      <rPr>
        <sz val="11"/>
        <color theme="1"/>
        <rFont val="新細明體"/>
        <family val="2"/>
      </rPr>
      <t>物價年增率</t>
    </r>
    <phoneticPr fontId="1" type="noConversion"/>
  </si>
  <si>
    <r>
      <rPr>
        <sz val="11"/>
        <color theme="1"/>
        <rFont val="新細明體"/>
        <family val="2"/>
      </rPr>
      <t>生息資產收益率</t>
    </r>
    <phoneticPr fontId="1" type="noConversion"/>
  </si>
  <si>
    <r>
      <rPr>
        <sz val="11"/>
        <color theme="1"/>
        <rFont val="新細明體"/>
        <family val="2"/>
      </rPr>
      <t>旅遊支出現值</t>
    </r>
    <phoneticPr fontId="1" type="noConversion"/>
  </si>
  <si>
    <r>
      <rPr>
        <sz val="11"/>
        <color theme="1"/>
        <rFont val="新細明體"/>
        <family val="2"/>
      </rPr>
      <t>旅遊</t>
    </r>
    <phoneticPr fontId="1" type="noConversion"/>
  </si>
  <si>
    <r>
      <rPr>
        <sz val="11"/>
        <color theme="1"/>
        <rFont val="新細明體"/>
        <family val="2"/>
      </rPr>
      <t>換車支出現值</t>
    </r>
    <phoneticPr fontId="1" type="noConversion"/>
  </si>
  <si>
    <r>
      <rPr>
        <sz val="11"/>
        <color theme="1"/>
        <rFont val="新細明體"/>
        <family val="2"/>
      </rPr>
      <t>換車</t>
    </r>
    <phoneticPr fontId="1" type="noConversion"/>
  </si>
  <si>
    <r>
      <rPr>
        <sz val="11"/>
        <color theme="1"/>
        <rFont val="新細明體"/>
        <family val="2"/>
      </rPr>
      <t>技巧</t>
    </r>
    <r>
      <rPr>
        <sz val="11"/>
        <color theme="1"/>
        <rFont val="Times New Roman"/>
        <family val="1"/>
      </rPr>
      <t xml:space="preserve">1: </t>
    </r>
    <r>
      <rPr>
        <sz val="11"/>
        <color theme="1"/>
        <rFont val="新細明體"/>
        <family val="2"/>
      </rPr>
      <t>設定儲存格格式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2"/>
      </rPr>
      <t>數值、調整小數點、增加百分比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</si>
  <si>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新細明體"/>
        <family val="2"/>
      </rPr>
      <t>技巧</t>
    </r>
    <r>
      <rPr>
        <sz val="11"/>
        <color theme="1"/>
        <rFont val="Times New Roman"/>
        <family val="1"/>
      </rPr>
      <t xml:space="preserve">2: </t>
    </r>
    <r>
      <rPr>
        <sz val="11"/>
        <color theme="1"/>
        <rFont val="新細明體"/>
        <family val="2"/>
      </rPr>
      <t>自動填滿數列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2"/>
      </rPr>
      <t>規劃年度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</si>
  <si>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新細明體"/>
        <family val="2"/>
      </rPr>
      <t>技巧</t>
    </r>
    <r>
      <rPr>
        <sz val="11"/>
        <color theme="1"/>
        <rFont val="Times New Roman"/>
        <family val="1"/>
      </rPr>
      <t xml:space="preserve">3: </t>
    </r>
    <r>
      <rPr>
        <sz val="11"/>
        <color theme="1"/>
        <rFont val="新細明體"/>
        <family val="2"/>
      </rPr>
      <t>公式中使用儲存格參照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2"/>
      </rPr>
      <t>總收入、總支出、自由儲蓄、年初年底生息資產、理財支出終值、生息資產收入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</si>
  <si>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新細明體"/>
        <family val="2"/>
      </rPr>
      <t>技巧</t>
    </r>
    <r>
      <rPr>
        <sz val="11"/>
        <color theme="1"/>
        <rFont val="Times New Roman"/>
        <family val="1"/>
      </rPr>
      <t xml:space="preserve">4: </t>
    </r>
    <r>
      <rPr>
        <sz val="11"/>
        <color theme="1"/>
        <rFont val="新細明體"/>
        <family val="2"/>
      </rPr>
      <t>公式中使用儲存格絕對參照，使用</t>
    </r>
    <r>
      <rPr>
        <sz val="11"/>
        <color theme="1"/>
        <rFont val="Times New Roman"/>
        <family val="1"/>
      </rPr>
      <t>$</t>
    </r>
    <r>
      <rPr>
        <sz val="11"/>
        <color theme="1"/>
        <rFont val="新細明體"/>
        <family val="2"/>
      </rPr>
      <t>鎖定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2"/>
      </rPr>
      <t>工作收入、一般支出、資產收益率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</si>
  <si>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新細明體"/>
        <family val="2"/>
      </rPr>
      <t>技巧</t>
    </r>
    <r>
      <rPr>
        <sz val="11"/>
        <color theme="1"/>
        <rFont val="Times New Roman"/>
        <family val="1"/>
      </rPr>
      <t xml:space="preserve">5: </t>
    </r>
    <r>
      <rPr>
        <sz val="11"/>
        <color theme="1"/>
        <rFont val="新細明體"/>
        <family val="2"/>
      </rPr>
      <t>自動填滿公式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2"/>
      </rPr>
      <t>工作收入、一般支出、資產收益率、其他儲存格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</si>
  <si>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新細明體"/>
        <family val="2"/>
      </rPr>
      <t>技巧</t>
    </r>
    <r>
      <rPr>
        <sz val="11"/>
        <color theme="1"/>
        <rFont val="Times New Roman"/>
        <family val="1"/>
      </rPr>
      <t xml:space="preserve">6: </t>
    </r>
    <r>
      <rPr>
        <sz val="11"/>
        <color theme="1"/>
        <rFont val="新細明體"/>
        <family val="2"/>
      </rPr>
      <t>繪製折線圖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新細明體"/>
        <family val="2"/>
      </rPr>
      <t>橫軸為規劃年度、縱軸為總收入、總支出、年底生息資產</t>
    </r>
    <r>
      <rPr>
        <sz val="11"/>
        <color theme="1"/>
        <rFont val="Times New Roman"/>
        <family val="1"/>
      </rPr>
      <t>)</t>
    </r>
    <phoneticPr fontId="1" type="noConversion"/>
  </si>
  <si>
    <t>自由
儲蓄</t>
    <phoneticPr fontId="26" type="noConversion"/>
  </si>
  <si>
    <t>物價上漲率</t>
    <phoneticPr fontId="26" type="noConversion"/>
  </si>
  <si>
    <t>薪資上漲率(金鳳)</t>
    <phoneticPr fontId="26" type="noConversion"/>
  </si>
  <si>
    <t>薪資上漲率(阿進)</t>
    <phoneticPr fontId="26" type="noConversion"/>
  </si>
  <si>
    <t>勞退報酬率</t>
    <phoneticPr fontId="26" type="noConversion"/>
  </si>
  <si>
    <t>投資型保單報酬率</t>
    <phoneticPr fontId="26" type="noConversion"/>
  </si>
  <si>
    <t>新期初
生息資產</t>
    <phoneticPr fontId="26" type="noConversion"/>
  </si>
  <si>
    <t>新投資
報酬率</t>
    <phoneticPr fontId="26" type="noConversion"/>
  </si>
  <si>
    <t>期末生息
資產(2%)</t>
    <phoneticPr fontId="26" type="noConversion"/>
  </si>
  <si>
    <t>期末生息
資產(4%)</t>
    <phoneticPr fontId="26" type="noConversion"/>
  </si>
  <si>
    <r>
      <rPr>
        <b/>
        <sz val="11"/>
        <color theme="1"/>
        <rFont val="新細明體"/>
        <family val="2"/>
      </rPr>
      <t>女兒生活費</t>
    </r>
    <phoneticPr fontId="1" type="noConversion"/>
  </si>
  <si>
    <t>園藝
收入</t>
    <phoneticPr fontId="26" type="noConversion"/>
  </si>
  <si>
    <t>新收入
合計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</si>
</sst>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_-&quot;$&quot;* #,##0_-;\-&quot;$&quot;* #,##0_-;_-&quot;$&quot;* &quot;-&quot;??_-;_-@_-"/>
    <numFmt numFmtId="178" formatCode="0.0_);[Red]\(0.0\)"/>
    <numFmt numFmtId="179" formatCode="_(* #,##0_);_(* \(#,##0\);_(* &quot;-&quot;??_);_(@_)"/>
    <numFmt numFmtId="180" formatCode="0.00_);[Red]\(0.00\)"/>
    <numFmt numFmtId="181" formatCode="&quot;$&quot;#,##0.00000;[Red]\-&quot;$&quot;#,##0.00000"/>
    <numFmt numFmtId="182" formatCode="0_);[Red]\(0\)"/>
  </numFmts>
  <fonts count="41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0"/>
      <name val="Arial"/>
      <family val="2"/>
    </font>
    <font>
      <b/>
      <sz val="11"/>
      <color theme="1"/>
      <name val="新細明體"/>
      <family val="1"/>
      <charset val="136"/>
    </font>
    <font>
      <sz val="11"/>
      <color theme="1"/>
      <name val="Calibri"/>
      <family val="2"/>
    </font>
    <font>
      <sz val="11"/>
      <color theme="1"/>
      <name val="新細明體"/>
      <family val="2"/>
    </font>
    <font>
      <sz val="11"/>
      <color theme="1"/>
      <name val="新細明體"/>
      <family val="1"/>
      <charset val="136"/>
    </font>
    <font>
      <b/>
      <sz val="11"/>
      <color theme="0"/>
      <name val="新細明體"/>
      <family val="1"/>
      <charset val="136"/>
    </font>
    <font>
      <sz val="10"/>
      <name val="新細明體"/>
      <family val="1"/>
      <charset val="136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theme="0"/>
      <name val="新細明體"/>
      <family val="1"/>
      <charset val="13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u val="doubleAccounting"/>
      <sz val="11"/>
      <color theme="1"/>
      <name val="Times New Roman"/>
      <family val="1"/>
    </font>
    <font>
      <u val="double"/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0"/>
      <name val="新細明體"/>
      <family val="1"/>
      <charset val="136"/>
      <scheme val="minor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  <charset val="136"/>
    </font>
    <font>
      <sz val="11"/>
      <color theme="1"/>
      <name val="Times New Roman"/>
      <family val="2"/>
    </font>
    <font>
      <sz val="11"/>
      <color theme="1"/>
      <name val="微軟正黑體"/>
      <family val="1"/>
      <charset val="136"/>
    </font>
    <font>
      <u/>
      <sz val="11"/>
      <color theme="10"/>
      <name val="新細明體"/>
      <family val="2"/>
      <scheme val="minor"/>
    </font>
    <font>
      <sz val="9"/>
      <name val="新細明體"/>
      <family val="2"/>
      <charset val="136"/>
      <scheme val="minor"/>
    </font>
    <font>
      <b/>
      <sz val="11"/>
      <name val="新細明體"/>
      <family val="1"/>
      <charset val="136"/>
      <scheme val="minor"/>
    </font>
    <font>
      <sz val="10"/>
      <name val="Times New Roman"/>
      <family val="1"/>
      <charset val="136"/>
    </font>
    <font>
      <b/>
      <sz val="10"/>
      <name val="Times New Roman"/>
      <family val="1"/>
    </font>
    <font>
      <b/>
      <sz val="10"/>
      <name val="新細明體"/>
      <family val="1"/>
      <charset val="136"/>
    </font>
    <font>
      <u/>
      <sz val="11"/>
      <color theme="10"/>
      <name val="Times New Roman"/>
      <family val="1"/>
    </font>
    <font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sz val="11"/>
      <color rgb="FFC00000"/>
      <name val="Times New Roman"/>
      <family val="1"/>
    </font>
    <font>
      <b/>
      <sz val="11"/>
      <color theme="1"/>
      <name val="新細明體"/>
      <family val="2"/>
    </font>
    <font>
      <b/>
      <sz val="11"/>
      <color rgb="FFC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DF9E7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A0000"/>
        <bgColor indexed="64"/>
      </patternFill>
    </fill>
    <fill>
      <patternFill patternType="solid">
        <fgColor rgb="FF9200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76" fontId="0" fillId="0" borderId="0" xfId="1" applyNumberFormat="1" applyFont="1" applyAlignment="1"/>
    <xf numFmtId="176" fontId="3" fillId="0" borderId="0" xfId="1" applyNumberFormat="1" applyFont="1" applyAlignment="1"/>
    <xf numFmtId="0" fontId="6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177" fontId="15" fillId="0" borderId="0" xfId="2" applyNumberFormat="1" applyFont="1" applyAlignment="1"/>
    <xf numFmtId="0" fontId="15" fillId="0" borderId="0" xfId="0" applyFont="1" applyAlignment="1">
      <alignment wrapText="1"/>
    </xf>
    <xf numFmtId="176" fontId="15" fillId="0" borderId="0" xfId="1" applyNumberFormat="1" applyFont="1" applyAlignment="1"/>
    <xf numFmtId="0" fontId="15" fillId="0" borderId="0" xfId="0" applyFont="1" applyBorder="1"/>
    <xf numFmtId="0" fontId="15" fillId="0" borderId="0" xfId="0" applyFont="1" applyFill="1"/>
    <xf numFmtId="0" fontId="14" fillId="0" borderId="1" xfId="0" applyFont="1" applyBorder="1"/>
    <xf numFmtId="0" fontId="15" fillId="0" borderId="1" xfId="0" applyFont="1" applyBorder="1"/>
    <xf numFmtId="0" fontId="15" fillId="0" borderId="0" xfId="0" applyFont="1" applyAlignment="1">
      <alignment horizontal="right"/>
    </xf>
    <xf numFmtId="176" fontId="16" fillId="0" borderId="0" xfId="1" applyNumberFormat="1" applyFont="1" applyBorder="1" applyAlignment="1"/>
    <xf numFmtId="177" fontId="16" fillId="0" borderId="0" xfId="2" applyNumberFormat="1" applyFont="1" applyBorder="1" applyAlignment="1"/>
    <xf numFmtId="0" fontId="14" fillId="0" borderId="0" xfId="0" applyFont="1" applyFill="1"/>
    <xf numFmtId="177" fontId="18" fillId="0" borderId="1" xfId="2" applyNumberFormat="1" applyFont="1" applyBorder="1" applyAlignment="1"/>
    <xf numFmtId="176" fontId="15" fillId="0" borderId="1" xfId="1" applyNumberFormat="1" applyFont="1" applyBorder="1" applyAlignment="1"/>
    <xf numFmtId="176" fontId="16" fillId="0" borderId="0" xfId="1" applyNumberFormat="1" applyFont="1" applyAlignment="1"/>
    <xf numFmtId="177" fontId="16" fillId="0" borderId="0" xfId="2" applyNumberFormat="1" applyFont="1" applyAlignment="1"/>
    <xf numFmtId="0" fontId="19" fillId="0" borderId="0" xfId="0" applyFont="1"/>
    <xf numFmtId="0" fontId="19" fillId="0" borderId="0" xfId="0" applyFont="1" applyAlignment="1">
      <alignment horizontal="center"/>
    </xf>
    <xf numFmtId="179" fontId="19" fillId="0" borderId="0" xfId="1" applyNumberFormat="1" applyFont="1" applyAlignment="1"/>
    <xf numFmtId="179" fontId="19" fillId="0" borderId="1" xfId="1" applyNumberFormat="1" applyFont="1" applyBorder="1" applyAlignment="1"/>
    <xf numFmtId="179" fontId="19" fillId="0" borderId="0" xfId="1" applyNumberFormat="1" applyFont="1" applyBorder="1" applyAlignment="1"/>
    <xf numFmtId="0" fontId="19" fillId="0" borderId="0" xfId="0" applyFont="1" applyAlignment="1">
      <alignment wrapText="1"/>
    </xf>
    <xf numFmtId="0" fontId="19" fillId="0" borderId="0" xfId="0" quotePrefix="1" applyFont="1" applyAlignment="1">
      <alignment wrapText="1"/>
    </xf>
    <xf numFmtId="37" fontId="19" fillId="0" borderId="0" xfId="0" applyNumberFormat="1" applyFont="1" applyBorder="1"/>
    <xf numFmtId="37" fontId="19" fillId="0" borderId="3" xfId="0" applyNumberFormat="1" applyFont="1" applyBorder="1"/>
    <xf numFmtId="0" fontId="19" fillId="0" borderId="1" xfId="0" applyFont="1" applyBorder="1" applyAlignment="1">
      <alignment wrapText="1"/>
    </xf>
    <xf numFmtId="37" fontId="19" fillId="0" borderId="1" xfId="0" applyNumberFormat="1" applyFont="1" applyBorder="1"/>
    <xf numFmtId="0" fontId="19" fillId="0" borderId="1" xfId="0" applyFont="1" applyBorder="1"/>
    <xf numFmtId="0" fontId="15" fillId="0" borderId="0" xfId="0" applyFont="1" applyAlignment="1">
      <alignment horizontal="center"/>
    </xf>
    <xf numFmtId="176" fontId="15" fillId="0" borderId="0" xfId="1" applyNumberFormat="1" applyFont="1" applyBorder="1" applyAlignment="1"/>
    <xf numFmtId="0" fontId="0" fillId="0" borderId="0" xfId="0" applyAlignment="1">
      <alignment vertical="center"/>
    </xf>
    <xf numFmtId="0" fontId="8" fillId="0" borderId="0" xfId="0" applyFont="1"/>
    <xf numFmtId="176" fontId="15" fillId="0" borderId="0" xfId="1" applyNumberFormat="1" applyFont="1" applyFill="1" applyBorder="1" applyAlignment="1"/>
    <xf numFmtId="176" fontId="16" fillId="0" borderId="0" xfId="1" applyNumberFormat="1" applyFont="1" applyFill="1" applyBorder="1" applyAlignment="1"/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0" fontId="23" fillId="0" borderId="0" xfId="0" applyFont="1"/>
    <xf numFmtId="176" fontId="22" fillId="0" borderId="0" xfId="1" applyNumberFormat="1" applyFont="1" applyAlignment="1"/>
    <xf numFmtId="177" fontId="22" fillId="0" borderId="0" xfId="2" applyNumberFormat="1" applyFont="1" applyAlignment="1"/>
    <xf numFmtId="0" fontId="0" fillId="0" borderId="1" xfId="0" applyBorder="1"/>
    <xf numFmtId="177" fontId="15" fillId="0" borderId="0" xfId="2" applyNumberFormat="1" applyFont="1" applyFill="1" applyAlignment="1"/>
    <xf numFmtId="0" fontId="22" fillId="0" borderId="0" xfId="0" applyFont="1"/>
    <xf numFmtId="0" fontId="15" fillId="0" borderId="1" xfId="0" applyFont="1" applyBorder="1" applyAlignment="1">
      <alignment horizontal="center"/>
    </xf>
    <xf numFmtId="177" fontId="16" fillId="0" borderId="1" xfId="2" applyNumberFormat="1" applyFont="1" applyBorder="1" applyAlignment="1"/>
    <xf numFmtId="180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/>
    </xf>
    <xf numFmtId="176" fontId="0" fillId="0" borderId="0" xfId="0" applyNumberFormat="1"/>
    <xf numFmtId="177" fontId="0" fillId="0" borderId="0" xfId="0" applyNumberFormat="1"/>
    <xf numFmtId="0" fontId="0" fillId="0" borderId="0" xfId="0" applyAlignment="1">
      <alignment horizontal="left"/>
    </xf>
    <xf numFmtId="0" fontId="31" fillId="0" borderId="0" xfId="3" applyFont="1"/>
    <xf numFmtId="0" fontId="0" fillId="0" borderId="0" xfId="0" applyBorder="1"/>
    <xf numFmtId="177" fontId="15" fillId="0" borderId="0" xfId="2" applyNumberFormat="1" applyFont="1" applyBorder="1" applyAlignment="1"/>
    <xf numFmtId="0" fontId="32" fillId="0" borderId="0" xfId="0" applyFont="1"/>
    <xf numFmtId="177" fontId="17" fillId="0" borderId="0" xfId="2" applyNumberFormat="1" applyFont="1" applyBorder="1" applyAlignment="1"/>
    <xf numFmtId="0" fontId="33" fillId="0" borderId="0" xfId="0" applyFont="1"/>
    <xf numFmtId="176" fontId="15" fillId="0" borderId="0" xfId="1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76" fontId="15" fillId="0" borderId="1" xfId="1" applyNumberFormat="1" applyFont="1" applyBorder="1" applyAlignment="1">
      <alignment horizontal="right" vertical="center"/>
    </xf>
    <xf numFmtId="0" fontId="2" fillId="0" borderId="1" xfId="0" applyFont="1" applyBorder="1"/>
    <xf numFmtId="177" fontId="17" fillId="0" borderId="1" xfId="2" applyNumberFormat="1" applyFont="1" applyBorder="1" applyAlignment="1"/>
    <xf numFmtId="0" fontId="10" fillId="0" borderId="1" xfId="0" applyFont="1" applyBorder="1" applyAlignment="1">
      <alignment wrapText="1"/>
    </xf>
    <xf numFmtId="0" fontId="10" fillId="4" borderId="4" xfId="0" applyFont="1" applyFill="1" applyBorder="1" applyAlignment="1">
      <alignment wrapText="1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4" borderId="4" xfId="0" applyFont="1" applyFill="1" applyBorder="1" applyAlignment="1">
      <alignment horizontal="center"/>
    </xf>
    <xf numFmtId="0" fontId="29" fillId="4" borderId="4" xfId="0" applyFont="1" applyFill="1" applyBorder="1" applyAlignment="1">
      <alignment horizontal="center"/>
    </xf>
    <xf numFmtId="2" fontId="15" fillId="0" borderId="0" xfId="0" applyNumberFormat="1" applyFont="1"/>
    <xf numFmtId="2" fontId="15" fillId="0" borderId="1" xfId="0" applyNumberFormat="1" applyFont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4" fillId="6" borderId="0" xfId="0" applyFont="1" applyFill="1"/>
    <xf numFmtId="0" fontId="3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9" fontId="15" fillId="0" borderId="1" xfId="0" applyNumberFormat="1" applyFont="1" applyBorder="1" applyAlignment="1">
      <alignment horizontal="center" vertical="center"/>
    </xf>
    <xf numFmtId="180" fontId="15" fillId="0" borderId="0" xfId="0" applyNumberFormat="1" applyFont="1" applyAlignment="1">
      <alignment vertical="center"/>
    </xf>
    <xf numFmtId="178" fontId="15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4" fillId="6" borderId="1" xfId="0" applyFont="1" applyFill="1" applyBorder="1"/>
    <xf numFmtId="0" fontId="14" fillId="6" borderId="1" xfId="0" applyFont="1" applyFill="1" applyBorder="1" applyAlignment="1">
      <alignment vertical="center"/>
    </xf>
    <xf numFmtId="9" fontId="15" fillId="0" borderId="0" xfId="0" applyNumberFormat="1" applyFont="1" applyAlignment="1">
      <alignment vertical="center"/>
    </xf>
    <xf numFmtId="9" fontId="15" fillId="0" borderId="1" xfId="0" applyNumberFormat="1" applyFont="1" applyBorder="1" applyAlignment="1">
      <alignment vertical="center"/>
    </xf>
    <xf numFmtId="2" fontId="36" fillId="5" borderId="0" xfId="0" applyNumberFormat="1" applyFont="1" applyFill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4" fillId="6" borderId="0" xfId="0" applyFont="1" applyFill="1" applyBorder="1"/>
    <xf numFmtId="1" fontId="15" fillId="0" borderId="0" xfId="0" applyNumberFormat="1" applyFont="1" applyAlignment="1">
      <alignment vertical="center"/>
    </xf>
    <xf numFmtId="1" fontId="15" fillId="0" borderId="1" xfId="0" applyNumberFormat="1" applyFont="1" applyBorder="1" applyAlignment="1">
      <alignment vertical="center"/>
    </xf>
    <xf numFmtId="1" fontId="36" fillId="5" borderId="0" xfId="0" applyNumberFormat="1" applyFont="1" applyFill="1" applyAlignment="1">
      <alignment vertical="center"/>
    </xf>
    <xf numFmtId="1" fontId="15" fillId="0" borderId="0" xfId="0" applyNumberFormat="1" applyFont="1" applyAlignment="1">
      <alignment horizontal="right" vertical="center"/>
    </xf>
    <xf numFmtId="1" fontId="15" fillId="0" borderId="0" xfId="1" applyNumberFormat="1" applyFont="1" applyAlignment="1">
      <alignment horizontal="right" vertical="center"/>
    </xf>
    <xf numFmtId="1" fontId="15" fillId="0" borderId="0" xfId="0" applyNumberFormat="1" applyFont="1"/>
    <xf numFmtId="1" fontId="15" fillId="0" borderId="1" xfId="0" applyNumberFormat="1" applyFont="1" applyBorder="1"/>
    <xf numFmtId="1" fontId="15" fillId="0" borderId="1" xfId="0" applyNumberFormat="1" applyFont="1" applyBorder="1" applyAlignment="1">
      <alignment horizontal="right" vertical="center"/>
    </xf>
    <xf numFmtId="1" fontId="15" fillId="0" borderId="1" xfId="1" applyNumberFormat="1" applyFont="1" applyBorder="1" applyAlignment="1">
      <alignment horizontal="right" vertical="center"/>
    </xf>
    <xf numFmtId="2" fontId="15" fillId="0" borderId="0" xfId="1" applyNumberFormat="1" applyFont="1" applyAlignment="1">
      <alignment vertical="center"/>
    </xf>
    <xf numFmtId="1" fontId="15" fillId="0" borderId="0" xfId="1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5" fillId="0" borderId="1" xfId="0" applyNumberFormat="1" applyFont="1" applyBorder="1"/>
    <xf numFmtId="2" fontId="15" fillId="0" borderId="1" xfId="1" applyNumberFormat="1" applyFont="1" applyBorder="1" applyAlignment="1">
      <alignment vertical="center"/>
    </xf>
    <xf numFmtId="1" fontId="15" fillId="0" borderId="1" xfId="1" applyNumberFormat="1" applyFont="1" applyBorder="1" applyAlignment="1">
      <alignment vertical="center"/>
    </xf>
    <xf numFmtId="0" fontId="15" fillId="0" borderId="0" xfId="1" applyNumberFormat="1" applyFont="1" applyAlignment="1"/>
    <xf numFmtId="1" fontId="36" fillId="5" borderId="0" xfId="1" applyNumberFormat="1" applyFont="1" applyFill="1" applyAlignment="1">
      <alignment vertical="center"/>
    </xf>
    <xf numFmtId="1" fontId="15" fillId="0" borderId="0" xfId="1" applyNumberFormat="1" applyFont="1" applyAlignment="1"/>
    <xf numFmtId="1" fontId="15" fillId="0" borderId="1" xfId="1" applyNumberFormat="1" applyFont="1" applyBorder="1" applyAlignment="1"/>
    <xf numFmtId="2" fontId="36" fillId="5" borderId="0" xfId="1" applyNumberFormat="1" applyFont="1" applyFill="1" applyAlignment="1">
      <alignment horizontal="right" vertical="center"/>
    </xf>
    <xf numFmtId="177" fontId="17" fillId="5" borderId="1" xfId="2" applyNumberFormat="1" applyFont="1" applyFill="1" applyBorder="1" applyAlignment="1"/>
    <xf numFmtId="0" fontId="15" fillId="5" borderId="4" xfId="0" applyFont="1" applyFill="1" applyBorder="1"/>
    <xf numFmtId="0" fontId="14" fillId="5" borderId="4" xfId="0" applyFont="1" applyFill="1" applyBorder="1"/>
    <xf numFmtId="0" fontId="2" fillId="6" borderId="0" xfId="0" applyFont="1" applyFill="1" applyBorder="1"/>
    <xf numFmtId="9" fontId="38" fillId="5" borderId="0" xfId="0" applyNumberFormat="1" applyFont="1" applyFill="1" applyAlignment="1">
      <alignment vertical="center"/>
    </xf>
    <xf numFmtId="0" fontId="15" fillId="0" borderId="2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NumberFormat="1" applyFont="1" applyBorder="1"/>
    <xf numFmtId="1" fontId="15" fillId="0" borderId="2" xfId="0" applyNumberFormat="1" applyFont="1" applyBorder="1" applyAlignment="1">
      <alignment vertical="center"/>
    </xf>
    <xf numFmtId="1" fontId="15" fillId="0" borderId="2" xfId="0" applyNumberFormat="1" applyFont="1" applyBorder="1" applyAlignment="1">
      <alignment horizontal="right" vertical="center"/>
    </xf>
    <xf numFmtId="1" fontId="15" fillId="0" borderId="0" xfId="0" applyNumberFormat="1" applyFont="1" applyBorder="1" applyAlignment="1">
      <alignment vertical="center"/>
    </xf>
    <xf numFmtId="1" fontId="15" fillId="0" borderId="0" xfId="0" applyNumberFormat="1" applyFont="1" applyBorder="1" applyAlignment="1">
      <alignment horizontal="right" vertical="center"/>
    </xf>
    <xf numFmtId="1" fontId="15" fillId="0" borderId="0" xfId="0" applyNumberFormat="1" applyFont="1" applyBorder="1"/>
    <xf numFmtId="1" fontId="15" fillId="0" borderId="0" xfId="1" applyNumberFormat="1" applyFont="1" applyBorder="1" applyAlignment="1">
      <alignment vertical="center"/>
    </xf>
    <xf numFmtId="1" fontId="36" fillId="5" borderId="0" xfId="1" applyNumberFormat="1" applyFont="1" applyFill="1" applyAlignment="1">
      <alignment horizontal="right" vertical="center"/>
    </xf>
    <xf numFmtId="1" fontId="36" fillId="5" borderId="0" xfId="0" applyNumberFormat="1" applyFont="1" applyFill="1" applyBorder="1" applyAlignment="1">
      <alignment vertical="center"/>
    </xf>
    <xf numFmtId="2" fontId="36" fillId="5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vertical="center"/>
    </xf>
    <xf numFmtId="2" fontId="15" fillId="0" borderId="0" xfId="0" applyNumberFormat="1" applyFont="1" applyAlignment="1">
      <alignment vertical="center"/>
    </xf>
    <xf numFmtId="2" fontId="15" fillId="0" borderId="1" xfId="0" applyNumberFormat="1" applyFont="1" applyBorder="1" applyAlignment="1">
      <alignment vertical="center"/>
    </xf>
    <xf numFmtId="8" fontId="0" fillId="0" borderId="0" xfId="0" applyNumberFormat="1"/>
    <xf numFmtId="181" fontId="0" fillId="0" borderId="0" xfId="0" applyNumberFormat="1"/>
    <xf numFmtId="1" fontId="0" fillId="0" borderId="0" xfId="0" applyNumberFormat="1"/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/>
    <xf numFmtId="0" fontId="0" fillId="7" borderId="0" xfId="0" applyFill="1"/>
    <xf numFmtId="0" fontId="20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9" fontId="15" fillId="0" borderId="0" xfId="0" applyNumberFormat="1" applyFont="1"/>
    <xf numFmtId="182" fontId="15" fillId="0" borderId="0" xfId="0" applyNumberFormat="1" applyFont="1"/>
    <xf numFmtId="9" fontId="15" fillId="0" borderId="0" xfId="4" applyFont="1" applyAlignment="1"/>
    <xf numFmtId="182" fontId="15" fillId="5" borderId="0" xfId="0" applyNumberFormat="1" applyFont="1" applyFill="1"/>
    <xf numFmtId="0" fontId="15" fillId="5" borderId="0" xfId="0" applyFont="1" applyFill="1"/>
    <xf numFmtId="9" fontId="15" fillId="4" borderId="0" xfId="4" applyFont="1" applyFill="1" applyAlignment="1"/>
    <xf numFmtId="182" fontId="15" fillId="4" borderId="0" xfId="0" applyNumberFormat="1" applyFont="1" applyFill="1"/>
    <xf numFmtId="0" fontId="39" fillId="0" borderId="0" xfId="0" applyFont="1"/>
    <xf numFmtId="182" fontId="39" fillId="0" borderId="0" xfId="0" applyNumberFormat="1" applyFont="1"/>
    <xf numFmtId="0" fontId="15" fillId="0" borderId="0" xfId="0" applyNumberFormat="1" applyFont="1"/>
    <xf numFmtId="0" fontId="15" fillId="0" borderId="0" xfId="4" applyNumberFormat="1" applyFont="1" applyAlignment="1"/>
    <xf numFmtId="0" fontId="15" fillId="5" borderId="0" xfId="0" applyNumberFormat="1" applyFont="1" applyFill="1"/>
    <xf numFmtId="0" fontId="15" fillId="4" borderId="0" xfId="4" applyNumberFormat="1" applyFont="1" applyFill="1" applyAlignment="1"/>
    <xf numFmtId="0" fontId="15" fillId="4" borderId="0" xfId="0" applyNumberFormat="1" applyFont="1" applyFill="1"/>
    <xf numFmtId="0" fontId="15" fillId="0" borderId="0" xfId="0" applyNumberFormat="1" applyFont="1" applyFill="1"/>
    <xf numFmtId="0" fontId="15" fillId="0" borderId="0" xfId="4" applyNumberFormat="1" applyFont="1" applyFill="1" applyAlignment="1"/>
    <xf numFmtId="0" fontId="39" fillId="0" borderId="0" xfId="0" applyNumberFormat="1" applyFont="1" applyFill="1"/>
    <xf numFmtId="1" fontId="15" fillId="0" borderId="0" xfId="0" applyNumberFormat="1" applyFont="1" applyFill="1" applyAlignment="1">
      <alignment vertical="center"/>
    </xf>
    <xf numFmtId="1" fontId="40" fillId="5" borderId="0" xfId="0" applyNumberFormat="1" applyFont="1" applyFill="1" applyAlignment="1">
      <alignment vertical="center"/>
    </xf>
    <xf numFmtId="1" fontId="36" fillId="5" borderId="0" xfId="0" applyNumberFormat="1" applyFont="1" applyFill="1"/>
    <xf numFmtId="1" fontId="39" fillId="0" borderId="0" xfId="0" applyNumberFormat="1" applyFont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0" fontId="9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14" fontId="12" fillId="7" borderId="0" xfId="0" applyNumberFormat="1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49" fontId="11" fillId="7" borderId="0" xfId="0" applyNumberFormat="1" applyFont="1" applyFill="1" applyAlignment="1">
      <alignment horizont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/>
    </xf>
    <xf numFmtId="0" fontId="14" fillId="6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49" fontId="12" fillId="7" borderId="0" xfId="0" applyNumberFormat="1" applyFont="1" applyFill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34" fillId="9" borderId="0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</cellXfs>
  <cellStyles count="5">
    <cellStyle name="一般" xfId="0" builtinId="0"/>
    <cellStyle name="千分位" xfId="1" builtinId="3"/>
    <cellStyle name="百分比" xfId="4" builtinId="5"/>
    <cellStyle name="貨幣" xfId="2" builtinId="4"/>
    <cellStyle name="超連結" xfId="3" builtinId="8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9A0000"/>
      <color rgb="FFFF7C80"/>
      <color rgb="FFFF9999"/>
      <color rgb="FFFDF9E7"/>
      <color rgb="FFFBF5D9"/>
      <color rgb="FFF7EBB7"/>
      <color rgb="FFFAE4B4"/>
      <color rgb="FFF1F7B7"/>
      <color rgb="FFF7E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423153667027381E-2"/>
          <c:y val="7.5551639449136718E-2"/>
          <c:w val="0.92067284805680583"/>
          <c:h val="0.77755038065961657"/>
        </c:manualLayout>
      </c:layout>
      <c:lineChart>
        <c:grouping val="standard"/>
        <c:varyColors val="0"/>
        <c:ser>
          <c:idx val="0"/>
          <c:order val="0"/>
          <c:tx>
            <c:strRef>
              <c:f>終生收支線!$U$1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終生收支線!$E$4:$E$53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終生收支線!$U$4:$U$53</c:f>
              <c:numCache>
                <c:formatCode>0</c:formatCode>
                <c:ptCount val="50"/>
                <c:pt idx="0">
                  <c:v>147.22</c:v>
                </c:pt>
                <c:pt idx="1">
                  <c:v>149.37545600000001</c:v>
                </c:pt>
                <c:pt idx="2">
                  <c:v>151.59380335999998</c:v>
                </c:pt>
                <c:pt idx="3">
                  <c:v>153.86916635680001</c:v>
                </c:pt>
                <c:pt idx="4">
                  <c:v>155.34547983431997</c:v>
                </c:pt>
                <c:pt idx="5">
                  <c:v>158.61127538706</c:v>
                </c:pt>
                <c:pt idx="6">
                  <c:v>160.01122296676695</c:v>
                </c:pt>
                <c:pt idx="7">
                  <c:v>161.82764495990219</c:v>
                </c:pt>
                <c:pt idx="8">
                  <c:v>162.70925385249265</c:v>
                </c:pt>
                <c:pt idx="9">
                  <c:v>165.69547178986343</c:v>
                </c:pt>
                <c:pt idx="10">
                  <c:v>164.87582806811866</c:v>
                </c:pt>
                <c:pt idx="11">
                  <c:v>173.47956841027568</c:v>
                </c:pt>
                <c:pt idx="12">
                  <c:v>173.18120219654506</c:v>
                </c:pt>
                <c:pt idx="13">
                  <c:v>177.46626517397326</c:v>
                </c:pt>
                <c:pt idx="14">
                  <c:v>181.91783098473431</c:v>
                </c:pt>
                <c:pt idx="15">
                  <c:v>186.53852614861063</c:v>
                </c:pt>
                <c:pt idx="16">
                  <c:v>192.87508061830664</c:v>
                </c:pt>
                <c:pt idx="17">
                  <c:v>199.45609187464817</c:v>
                </c:pt>
                <c:pt idx="18">
                  <c:v>206.27185754589868</c:v>
                </c:pt>
                <c:pt idx="19">
                  <c:v>213.35078064512882</c:v>
                </c:pt>
                <c:pt idx="20">
                  <c:v>216.54268482035289</c:v>
                </c:pt>
                <c:pt idx="21">
                  <c:v>225.3972280414396</c:v>
                </c:pt>
                <c:pt idx="22">
                  <c:v>234.60384161563633</c:v>
                </c:pt>
                <c:pt idx="23">
                  <c:v>244.17670260862977</c:v>
                </c:pt>
                <c:pt idx="24">
                  <c:v>390.04094126943551</c:v>
                </c:pt>
                <c:pt idx="25">
                  <c:v>143.93115022431181</c:v>
                </c:pt>
                <c:pt idx="26">
                  <c:v>145.79018431556366</c:v>
                </c:pt>
                <c:pt idx="27">
                  <c:v>147.66768731037584</c:v>
                </c:pt>
                <c:pt idx="28">
                  <c:v>149.56365435125429</c:v>
                </c:pt>
                <c:pt idx="29">
                  <c:v>151.47807299884371</c:v>
                </c:pt>
                <c:pt idx="30">
                  <c:v>153.41092293059626</c:v>
                </c:pt>
                <c:pt idx="31">
                  <c:v>155.36217563041933</c:v>
                </c:pt>
                <c:pt idx="32">
                  <c:v>157.33179406906308</c:v>
                </c:pt>
                <c:pt idx="33">
                  <c:v>159.31973237500046</c:v>
                </c:pt>
                <c:pt idx="34">
                  <c:v>161.32593549554767</c:v>
                </c:pt>
                <c:pt idx="35">
                  <c:v>163.35033884796678</c:v>
                </c:pt>
                <c:pt idx="36">
                  <c:v>165.47686796028444</c:v>
                </c:pt>
                <c:pt idx="37">
                  <c:v>167.6231181015556</c:v>
                </c:pt>
                <c:pt idx="38">
                  <c:v>169.7890275012935</c:v>
                </c:pt>
                <c:pt idx="39">
                  <c:v>171.9745240297803</c:v>
                </c:pt>
                <c:pt idx="40">
                  <c:v>174.17952480840606</c:v>
                </c:pt>
                <c:pt idx="41">
                  <c:v>176.40393580856494</c:v>
                </c:pt>
                <c:pt idx="42">
                  <c:v>178.6476514388068</c:v>
                </c:pt>
                <c:pt idx="43">
                  <c:v>180.91055411993491</c:v>
                </c:pt>
                <c:pt idx="44">
                  <c:v>143.1229512477891</c:v>
                </c:pt>
                <c:pt idx="45">
                  <c:v>144.62243389105188</c:v>
                </c:pt>
                <c:pt idx="46">
                  <c:v>146.12464665954604</c:v>
                </c:pt>
                <c:pt idx="47">
                  <c:v>147.62909896522359</c:v>
                </c:pt>
                <c:pt idx="48">
                  <c:v>149.13527950446439</c:v>
                </c:pt>
                <c:pt idx="49">
                  <c:v>150.64265562568875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B5-48B3-B596-6A79D9301AB7}"/>
            </c:ext>
          </c:extLst>
        </c:ser>
        <c:ser>
          <c:idx val="1"/>
          <c:order val="1"/>
          <c:tx>
            <c:strRef>
              <c:f>終生收支線!$AK$1</c:f>
              <c:strCache>
                <c:ptCount val="1"/>
                <c:pt idx="0">
                  <c:v>支出
合計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終生收支線!$E$4:$E$53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終生收支線!$AK$4:$AK$53</c:f>
              <c:numCache>
                <c:formatCode>0</c:formatCode>
                <c:ptCount val="50"/>
                <c:pt idx="0">
                  <c:v>144.6336</c:v>
                </c:pt>
                <c:pt idx="1">
                  <c:v>146.03067200000001</c:v>
                </c:pt>
                <c:pt idx="2">
                  <c:v>147.65168543999999</c:v>
                </c:pt>
                <c:pt idx="3">
                  <c:v>170.74576234879999</c:v>
                </c:pt>
                <c:pt idx="4">
                  <c:v>152.29969581273599</c:v>
                </c:pt>
                <c:pt idx="5">
                  <c:v>155.16879037487871</c:v>
                </c:pt>
                <c:pt idx="6">
                  <c:v>171.00174272828704</c:v>
                </c:pt>
                <c:pt idx="7">
                  <c:v>197.09136520289812</c:v>
                </c:pt>
                <c:pt idx="8">
                  <c:v>146.2764269189521</c:v>
                </c:pt>
                <c:pt idx="9">
                  <c:v>245.34396485696413</c:v>
                </c:pt>
                <c:pt idx="10">
                  <c:v>124.99668485661147</c:v>
                </c:pt>
                <c:pt idx="11">
                  <c:v>126.90939436110368</c:v>
                </c:pt>
                <c:pt idx="12">
                  <c:v>128.11598224832576</c:v>
                </c:pt>
                <c:pt idx="13">
                  <c:v>129.24070189329228</c:v>
                </c:pt>
                <c:pt idx="14">
                  <c:v>130.48391593115812</c:v>
                </c:pt>
                <c:pt idx="15">
                  <c:v>93.245994249781305</c:v>
                </c:pt>
                <c:pt idx="16">
                  <c:v>94.52731413477693</c:v>
                </c:pt>
                <c:pt idx="17">
                  <c:v>96.314311386304482</c:v>
                </c:pt>
                <c:pt idx="18">
                  <c:v>97.644997614030558</c:v>
                </c:pt>
                <c:pt idx="19">
                  <c:v>203.01261528479597</c:v>
                </c:pt>
                <c:pt idx="20">
                  <c:v>65.771492185470265</c:v>
                </c:pt>
                <c:pt idx="21">
                  <c:v>66.977322029179689</c:v>
                </c:pt>
                <c:pt idx="22">
                  <c:v>68.201268469763278</c:v>
                </c:pt>
                <c:pt idx="23">
                  <c:v>69.677419969462534</c:v>
                </c:pt>
                <c:pt idx="24">
                  <c:v>122.32363160146052</c:v>
                </c:pt>
                <c:pt idx="25">
                  <c:v>124.68610423348973</c:v>
                </c:pt>
                <c:pt idx="26">
                  <c:v>127.09582631815952</c:v>
                </c:pt>
                <c:pt idx="27">
                  <c:v>129.5537428445227</c:v>
                </c:pt>
                <c:pt idx="28">
                  <c:v>132.06081770141316</c:v>
                </c:pt>
                <c:pt idx="29">
                  <c:v>134.61803405544143</c:v>
                </c:pt>
                <c:pt idx="30">
                  <c:v>137.22639473655025</c:v>
                </c:pt>
                <c:pt idx="31">
                  <c:v>139.88692263128127</c:v>
                </c:pt>
                <c:pt idx="32">
                  <c:v>142.60066108390689</c:v>
                </c:pt>
                <c:pt idx="33">
                  <c:v>145.36867430558502</c:v>
                </c:pt>
                <c:pt idx="34">
                  <c:v>148.19204779169672</c:v>
                </c:pt>
                <c:pt idx="35">
                  <c:v>146.87188874753068</c:v>
                </c:pt>
                <c:pt idx="36">
                  <c:v>149.80932652248129</c:v>
                </c:pt>
                <c:pt idx="37">
                  <c:v>152.80551305293091</c:v>
                </c:pt>
                <c:pt idx="38">
                  <c:v>155.86162331398953</c:v>
                </c:pt>
                <c:pt idx="39">
                  <c:v>158.97885578026933</c:v>
                </c:pt>
                <c:pt idx="40">
                  <c:v>162.15843289587471</c:v>
                </c:pt>
                <c:pt idx="41">
                  <c:v>165.4016015537922</c:v>
                </c:pt>
                <c:pt idx="42">
                  <c:v>168.70963358486804</c:v>
                </c:pt>
                <c:pt idx="43">
                  <c:v>172.0838262565654</c:v>
                </c:pt>
                <c:pt idx="44">
                  <c:v>175.5255027816967</c:v>
                </c:pt>
                <c:pt idx="45">
                  <c:v>179.03601283733065</c:v>
                </c:pt>
                <c:pt idx="46">
                  <c:v>182.61673309407726</c:v>
                </c:pt>
                <c:pt idx="47">
                  <c:v>186.26906775595882</c:v>
                </c:pt>
                <c:pt idx="48">
                  <c:v>189.99444911107798</c:v>
                </c:pt>
                <c:pt idx="49">
                  <c:v>193.79433809329956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B5-48B3-B596-6A79D9301AB7}"/>
            </c:ext>
          </c:extLst>
        </c:ser>
        <c:ser>
          <c:idx val="2"/>
          <c:order val="2"/>
          <c:tx>
            <c:strRef>
              <c:f>終生收支線!$AM$1</c:f>
              <c:strCache>
                <c:ptCount val="1"/>
                <c:pt idx="0">
                  <c:v>期末
生息資產</c:v>
                </c:pt>
              </c:strCache>
            </c:strRef>
          </c:tx>
          <c:spPr>
            <a:ln w="28575" cap="rnd">
              <a:solidFill>
                <a:srgbClr val="C8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終生收支線!$E$4:$E$53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終生收支線!$AM$4:$AM$53</c:f>
              <c:numCache>
                <c:formatCode>0</c:formatCode>
                <c:ptCount val="50"/>
                <c:pt idx="0">
                  <c:v>57.586399999999998</c:v>
                </c:pt>
                <c:pt idx="1">
                  <c:v>60.931184000000002</c:v>
                </c:pt>
                <c:pt idx="2">
                  <c:v>64.873301919999989</c:v>
                </c:pt>
                <c:pt idx="3">
                  <c:v>47.996705928000011</c:v>
                </c:pt>
                <c:pt idx="4">
                  <c:v>51.042489949583995</c:v>
                </c:pt>
                <c:pt idx="5">
                  <c:v>54.484974961765289</c:v>
                </c:pt>
                <c:pt idx="6">
                  <c:v>43.494455200245199</c:v>
                </c:pt>
                <c:pt idx="7">
                  <c:v>8.2307349572492683</c:v>
                </c:pt>
                <c:pt idx="8">
                  <c:v>24.663561890789822</c:v>
                </c:pt>
                <c:pt idx="9">
                  <c:v>-54.98493117631088</c:v>
                </c:pt>
                <c:pt idx="10">
                  <c:v>-15.105787964803682</c:v>
                </c:pt>
                <c:pt idx="11">
                  <c:v>31.464386084368314</c:v>
                </c:pt>
                <c:pt idx="12">
                  <c:v>76.529606032587608</c:v>
                </c:pt>
                <c:pt idx="13">
                  <c:v>124.75516931326858</c:v>
                </c:pt>
                <c:pt idx="14">
                  <c:v>176.18908436684478</c:v>
                </c:pt>
                <c:pt idx="15">
                  <c:v>269.48161626567412</c:v>
                </c:pt>
                <c:pt idx="16">
                  <c:v>367.82938274920383</c:v>
                </c:pt>
                <c:pt idx="17">
                  <c:v>470.9711632375475</c:v>
                </c:pt>
                <c:pt idx="18">
                  <c:v>579.59802316941568</c:v>
                </c:pt>
                <c:pt idx="19">
                  <c:v>589.93618852974851</c:v>
                </c:pt>
                <c:pt idx="20">
                  <c:v>740.7073811646311</c:v>
                </c:pt>
                <c:pt idx="21">
                  <c:v>899.12728717689106</c:v>
                </c:pt>
                <c:pt idx="22">
                  <c:v>1065.5298603227641</c:v>
                </c:pt>
                <c:pt idx="23">
                  <c:v>1240.0291429619313</c:v>
                </c:pt>
                <c:pt idx="24">
                  <c:v>1507.7464526299063</c:v>
                </c:pt>
                <c:pt idx="25">
                  <c:v>1526.9914986207284</c:v>
                </c:pt>
                <c:pt idx="26">
                  <c:v>1545.6858566181324</c:v>
                </c:pt>
                <c:pt idx="27">
                  <c:v>1563.7998010839856</c:v>
                </c:pt>
                <c:pt idx="28">
                  <c:v>1581.3026377338267</c:v>
                </c:pt>
                <c:pt idx="29">
                  <c:v>1598.162676677229</c:v>
                </c:pt>
                <c:pt idx="30">
                  <c:v>1614.3472048712749</c:v>
                </c:pt>
                <c:pt idx="31">
                  <c:v>1629.822457870413</c:v>
                </c:pt>
                <c:pt idx="32">
                  <c:v>1644.5535908555692</c:v>
                </c:pt>
                <c:pt idx="33">
                  <c:v>1658.5046489249846</c:v>
                </c:pt>
                <c:pt idx="34">
                  <c:v>1671.6385366288355</c:v>
                </c:pt>
                <c:pt idx="35">
                  <c:v>1688.1169867292715</c:v>
                </c:pt>
                <c:pt idx="36">
                  <c:v>1703.7845281670748</c:v>
                </c:pt>
                <c:pt idx="37">
                  <c:v>1718.6021332156995</c:v>
                </c:pt>
                <c:pt idx="38">
                  <c:v>1732.5295374030034</c:v>
                </c:pt>
                <c:pt idx="39">
                  <c:v>1745.5252056525144</c:v>
                </c:pt>
                <c:pt idx="40">
                  <c:v>1757.5462975650457</c:v>
                </c:pt>
                <c:pt idx="41">
                  <c:v>1768.5486318198184</c:v>
                </c:pt>
                <c:pt idx="42">
                  <c:v>1778.4866496737573</c:v>
                </c:pt>
                <c:pt idx="43">
                  <c:v>1787.3133775371268</c:v>
                </c:pt>
                <c:pt idx="44">
                  <c:v>1754.9108260032192</c:v>
                </c:pt>
                <c:pt idx="45">
                  <c:v>1720.4972470569405</c:v>
                </c:pt>
                <c:pt idx="46">
                  <c:v>1684.0051606224092</c:v>
                </c:pt>
                <c:pt idx="47">
                  <c:v>1645.3651918316741</c:v>
                </c:pt>
                <c:pt idx="48">
                  <c:v>1604.5060222250604</c:v>
                </c:pt>
                <c:pt idx="49">
                  <c:v>1561.3543397574497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B5-48B3-B596-6A79D9301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177007"/>
        <c:axId val="648334207"/>
      </c:lineChart>
      <c:catAx>
        <c:axId val="72517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8334207"/>
        <c:crosses val="autoZero"/>
        <c:auto val="1"/>
        <c:lblAlgn val="ctr"/>
        <c:lblOffset val="100"/>
        <c:noMultiLvlLbl val="0"/>
      </c:catAx>
      <c:valAx>
        <c:axId val="648334207"/>
        <c:scaling>
          <c:orientation val="minMax"/>
          <c:max val="20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25177007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39617009555709"/>
          <c:y val="0.87313416517210618"/>
          <c:w val="0.60996661788490703"/>
          <c:h val="0.12686583482789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壓力_先生受傷!$U$1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壓力_先生受傷!$E$4:$E$53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壓力_先生受傷!$U$4:$U$53</c:f>
              <c:numCache>
                <c:formatCode>0</c:formatCode>
                <c:ptCount val="50"/>
                <c:pt idx="0">
                  <c:v>85.3</c:v>
                </c:pt>
                <c:pt idx="1">
                  <c:v>146.290256</c:v>
                </c:pt>
                <c:pt idx="2">
                  <c:v>148.58673055999998</c:v>
                </c:pt>
                <c:pt idx="3">
                  <c:v>150.94266138880002</c:v>
                </c:pt>
                <c:pt idx="4">
                  <c:v>152.47370331488003</c:v>
                </c:pt>
                <c:pt idx="5">
                  <c:v>157.72842694497601</c:v>
                </c:pt>
                <c:pt idx="6">
                  <c:v>157.28685911417256</c:v>
                </c:pt>
                <c:pt idx="7">
                  <c:v>159.11922327184115</c:v>
                </c:pt>
                <c:pt idx="8">
                  <c:v>159.99006671761163</c:v>
                </c:pt>
                <c:pt idx="9">
                  <c:v>162.96233007807334</c:v>
                </c:pt>
                <c:pt idx="10">
                  <c:v>165.5150283904614</c:v>
                </c:pt>
                <c:pt idx="11">
                  <c:v>172.5424069990768</c:v>
                </c:pt>
                <c:pt idx="12">
                  <c:v>169.94169402378108</c:v>
                </c:pt>
                <c:pt idx="13">
                  <c:v>173.88257380266273</c:v>
                </c:pt>
                <c:pt idx="14">
                  <c:v>177.95170688280518</c:v>
                </c:pt>
                <c:pt idx="15">
                  <c:v>182.1699859051584</c:v>
                </c:pt>
                <c:pt idx="16">
                  <c:v>188.06457991995538</c:v>
                </c:pt>
                <c:pt idx="17">
                  <c:v>194.18070544769091</c:v>
                </c:pt>
                <c:pt idx="18">
                  <c:v>200.48530624156547</c:v>
                </c:pt>
                <c:pt idx="19">
                  <c:v>207.02671436149078</c:v>
                </c:pt>
                <c:pt idx="20">
                  <c:v>209.63814557608319</c:v>
                </c:pt>
                <c:pt idx="21">
                  <c:v>218.16762293979247</c:v>
                </c:pt>
                <c:pt idx="22">
                  <c:v>227.0352928325278</c:v>
                </c:pt>
                <c:pt idx="23">
                  <c:v>236.25476072817654</c:v>
                </c:pt>
                <c:pt idx="24">
                  <c:v>386.42892343485494</c:v>
                </c:pt>
                <c:pt idx="25">
                  <c:v>140.24689203303964</c:v>
                </c:pt>
                <c:pt idx="26">
                  <c:v>142.03224096046605</c:v>
                </c:pt>
                <c:pt idx="27">
                  <c:v>143.83458508817628</c:v>
                </c:pt>
                <c:pt idx="28">
                  <c:v>145.65389008461074</c:v>
                </c:pt>
                <c:pt idx="29">
                  <c:v>147.4901134468673</c:v>
                </c:pt>
                <c:pt idx="30">
                  <c:v>149.34320418758028</c:v>
                </c:pt>
                <c:pt idx="31">
                  <c:v>151.21310251254306</c:v>
                </c:pt>
                <c:pt idx="32">
                  <c:v>153.0997394888293</c:v>
                </c:pt>
                <c:pt idx="33">
                  <c:v>155.003036703162</c:v>
                </c:pt>
                <c:pt idx="34">
                  <c:v>156.92290591027242</c:v>
                </c:pt>
                <c:pt idx="35">
                  <c:v>158.85924867098603</c:v>
                </c:pt>
                <c:pt idx="36">
                  <c:v>160.8959559797641</c:v>
                </c:pt>
                <c:pt idx="37">
                  <c:v>162.95058788142484</c:v>
                </c:pt>
                <c:pt idx="38">
                  <c:v>165.02304667676015</c:v>
                </c:pt>
                <c:pt idx="39">
                  <c:v>167.11322358875628</c:v>
                </c:pt>
                <c:pt idx="40">
                  <c:v>169.22099835856153</c:v>
                </c:pt>
                <c:pt idx="41">
                  <c:v>171.34623882972352</c:v>
                </c:pt>
                <c:pt idx="42">
                  <c:v>173.48880052038857</c:v>
                </c:pt>
                <c:pt idx="43">
                  <c:v>175.64852618314831</c:v>
                </c:pt>
                <c:pt idx="44">
                  <c:v>137.75568275226675</c:v>
                </c:pt>
                <c:pt idx="45">
                  <c:v>139.1478200256191</c:v>
                </c:pt>
                <c:pt idx="46">
                  <c:v>140.54054051680461</c:v>
                </c:pt>
                <c:pt idx="47">
                  <c:v>141.9333106996273</c:v>
                </c:pt>
                <c:pt idx="48">
                  <c:v>143.3255754735562</c:v>
                </c:pt>
                <c:pt idx="49">
                  <c:v>144.7167575141624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A-4265-BD82-730941C9FA4B}"/>
            </c:ext>
          </c:extLst>
        </c:ser>
        <c:ser>
          <c:idx val="1"/>
          <c:order val="1"/>
          <c:tx>
            <c:strRef>
              <c:f>壓力_先生受傷!$AL$1</c:f>
              <c:strCache>
                <c:ptCount val="1"/>
                <c:pt idx="0">
                  <c:v>支出
合計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壓力_先生受傷!$E$4:$E$53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壓力_先生受傷!$AL$4:$AL$53</c:f>
              <c:numCache>
                <c:formatCode>0</c:formatCode>
                <c:ptCount val="50"/>
                <c:pt idx="0">
                  <c:v>138.6336</c:v>
                </c:pt>
                <c:pt idx="1">
                  <c:v>140.780192</c:v>
                </c:pt>
                <c:pt idx="2">
                  <c:v>142.41619584</c:v>
                </c:pt>
                <c:pt idx="3">
                  <c:v>166.23468295679999</c:v>
                </c:pt>
                <c:pt idx="4">
                  <c:v>147.81839483289599</c:v>
                </c:pt>
                <c:pt idx="5">
                  <c:v>151.77091076943358</c:v>
                </c:pt>
                <c:pt idx="6">
                  <c:v>167.65590553073304</c:v>
                </c:pt>
                <c:pt idx="7">
                  <c:v>194.42693126139301</c:v>
                </c:pt>
                <c:pt idx="8">
                  <c:v>143.67870429861688</c:v>
                </c:pt>
                <c:pt idx="9">
                  <c:v>158.07259838458921</c:v>
                </c:pt>
                <c:pt idx="10">
                  <c:v>216.17229423004039</c:v>
                </c:pt>
                <c:pt idx="11">
                  <c:v>131.93727527735066</c:v>
                </c:pt>
                <c:pt idx="12">
                  <c:v>133.24442078289769</c:v>
                </c:pt>
                <c:pt idx="13">
                  <c:v>134.97882919855564</c:v>
                </c:pt>
                <c:pt idx="14">
                  <c:v>136.33680578252677</c:v>
                </c:pt>
                <c:pt idx="15">
                  <c:v>99.682661898177315</c:v>
                </c:pt>
                <c:pt idx="16">
                  <c:v>101.09271513614085</c:v>
                </c:pt>
                <c:pt idx="17">
                  <c:v>103.56934296315937</c:v>
                </c:pt>
                <c:pt idx="18">
                  <c:v>105.04512982242255</c:v>
                </c:pt>
                <c:pt idx="19">
                  <c:v>210.9466701373558</c:v>
                </c:pt>
                <c:pt idx="20">
                  <c:v>66.73735946724841</c:v>
                </c:pt>
                <c:pt idx="21">
                  <c:v>67.962506656593391</c:v>
                </c:pt>
                <c:pt idx="22">
                  <c:v>69.206156789725256</c:v>
                </c:pt>
                <c:pt idx="23">
                  <c:v>70.708246192023424</c:v>
                </c:pt>
                <c:pt idx="24">
                  <c:v>122.32363160146052</c:v>
                </c:pt>
                <c:pt idx="25">
                  <c:v>124.68610423348973</c:v>
                </c:pt>
                <c:pt idx="26">
                  <c:v>127.09582631815952</c:v>
                </c:pt>
                <c:pt idx="27">
                  <c:v>129.5537428445227</c:v>
                </c:pt>
                <c:pt idx="28">
                  <c:v>132.06081770141316</c:v>
                </c:pt>
                <c:pt idx="29">
                  <c:v>134.61803405544143</c:v>
                </c:pt>
                <c:pt idx="30">
                  <c:v>137.22639473655025</c:v>
                </c:pt>
                <c:pt idx="31">
                  <c:v>139.88692263128127</c:v>
                </c:pt>
                <c:pt idx="32">
                  <c:v>142.60066108390689</c:v>
                </c:pt>
                <c:pt idx="33">
                  <c:v>145.36867430558502</c:v>
                </c:pt>
                <c:pt idx="34">
                  <c:v>148.19204779169672</c:v>
                </c:pt>
                <c:pt idx="35">
                  <c:v>146.87188874753068</c:v>
                </c:pt>
                <c:pt idx="36">
                  <c:v>149.80932652248129</c:v>
                </c:pt>
                <c:pt idx="37">
                  <c:v>152.80551305293091</c:v>
                </c:pt>
                <c:pt idx="38">
                  <c:v>155.86162331398953</c:v>
                </c:pt>
                <c:pt idx="39">
                  <c:v>158.97885578026933</c:v>
                </c:pt>
                <c:pt idx="40">
                  <c:v>162.15843289587471</c:v>
                </c:pt>
                <c:pt idx="41">
                  <c:v>165.4016015537922</c:v>
                </c:pt>
                <c:pt idx="42">
                  <c:v>168.70963358486804</c:v>
                </c:pt>
                <c:pt idx="43">
                  <c:v>172.0838262565654</c:v>
                </c:pt>
                <c:pt idx="44">
                  <c:v>175.5255027816967</c:v>
                </c:pt>
                <c:pt idx="45">
                  <c:v>179.03601283733065</c:v>
                </c:pt>
                <c:pt idx="46">
                  <c:v>182.61673309407726</c:v>
                </c:pt>
                <c:pt idx="47">
                  <c:v>186.26906775595882</c:v>
                </c:pt>
                <c:pt idx="48">
                  <c:v>189.99444911107798</c:v>
                </c:pt>
                <c:pt idx="49">
                  <c:v>193.79433809329956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A-4265-BD82-730941C9FA4B}"/>
            </c:ext>
          </c:extLst>
        </c:ser>
        <c:ser>
          <c:idx val="2"/>
          <c:order val="2"/>
          <c:tx>
            <c:strRef>
              <c:f>壓力_先生受傷!$AN$1</c:f>
              <c:strCache>
                <c:ptCount val="1"/>
                <c:pt idx="0">
                  <c:v>期末
生息資產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壓力_先生受傷!$E$4:$E$53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壓力_先生受傷!$AN$4:$AN$53</c:f>
              <c:numCache>
                <c:formatCode>0</c:formatCode>
                <c:ptCount val="50"/>
                <c:pt idx="0">
                  <c:v>1.6663999999999959</c:v>
                </c:pt>
                <c:pt idx="1">
                  <c:v>7.1764639999999957</c:v>
                </c:pt>
                <c:pt idx="2">
                  <c:v>13.346998719999974</c:v>
                </c:pt>
                <c:pt idx="3">
                  <c:v>-1.9450228479999936</c:v>
                </c:pt>
                <c:pt idx="4">
                  <c:v>2.7102856339840429</c:v>
                </c:pt>
                <c:pt idx="5">
                  <c:v>8.6678018095264662</c:v>
                </c:pt>
                <c:pt idx="6">
                  <c:v>-1.7012446070340133</c:v>
                </c:pt>
                <c:pt idx="7">
                  <c:v>-37.008952596585871</c:v>
                </c:pt>
                <c:pt idx="8">
                  <c:v>-20.697590177591124</c:v>
                </c:pt>
                <c:pt idx="9">
                  <c:v>-15.807858484107001</c:v>
                </c:pt>
                <c:pt idx="10">
                  <c:v>-66.465124323685998</c:v>
                </c:pt>
                <c:pt idx="11">
                  <c:v>-25.85999260195986</c:v>
                </c:pt>
                <c:pt idx="12">
                  <c:v>10.837280638923531</c:v>
                </c:pt>
                <c:pt idx="13">
                  <c:v>49.74102524303062</c:v>
                </c:pt>
                <c:pt idx="14">
                  <c:v>91.355926343309036</c:v>
                </c:pt>
                <c:pt idx="15">
                  <c:v>173.84325035029013</c:v>
                </c:pt>
                <c:pt idx="16">
                  <c:v>260.81511513410464</c:v>
                </c:pt>
                <c:pt idx="17">
                  <c:v>351.42647761863617</c:v>
                </c:pt>
                <c:pt idx="18">
                  <c:v>446.86665403777909</c:v>
                </c:pt>
                <c:pt idx="19">
                  <c:v>442.94669826191409</c:v>
                </c:pt>
                <c:pt idx="20">
                  <c:v>585.84748437074882</c:v>
                </c:pt>
                <c:pt idx="21">
                  <c:v>736.05260065394782</c:v>
                </c:pt>
                <c:pt idx="22">
                  <c:v>893.88173669675029</c:v>
                </c:pt>
                <c:pt idx="23">
                  <c:v>1059.4282512329034</c:v>
                </c:pt>
                <c:pt idx="24">
                  <c:v>1323.5335430662979</c:v>
                </c:pt>
                <c:pt idx="25">
                  <c:v>1339.0943308658477</c:v>
                </c:pt>
                <c:pt idx="26">
                  <c:v>1354.0307455081543</c:v>
                </c:pt>
                <c:pt idx="27">
                  <c:v>1368.3115877518078</c:v>
                </c:pt>
                <c:pt idx="28">
                  <c:v>1381.9046601350053</c:v>
                </c:pt>
                <c:pt idx="29">
                  <c:v>1394.7767395264311</c:v>
                </c:pt>
                <c:pt idx="30">
                  <c:v>1406.8935489774613</c:v>
                </c:pt>
                <c:pt idx="31">
                  <c:v>1418.2197288587231</c:v>
                </c:pt>
                <c:pt idx="32">
                  <c:v>1428.7188072636454</c:v>
                </c:pt>
                <c:pt idx="33">
                  <c:v>1438.3531696612224</c:v>
                </c:pt>
                <c:pt idx="34">
                  <c:v>1447.0840277797981</c:v>
                </c:pt>
                <c:pt idx="35">
                  <c:v>1459.0713877032535</c:v>
                </c:pt>
                <c:pt idx="36">
                  <c:v>1470.1580171605365</c:v>
                </c:pt>
                <c:pt idx="37">
                  <c:v>1480.3030919890305</c:v>
                </c:pt>
                <c:pt idx="38">
                  <c:v>1489.4645153518011</c:v>
                </c:pt>
                <c:pt idx="39">
                  <c:v>1497.5988831602881</c:v>
                </c:pt>
                <c:pt idx="40">
                  <c:v>1504.6614486229748</c:v>
                </c:pt>
                <c:pt idx="41">
                  <c:v>1510.6060858989063</c:v>
                </c:pt>
                <c:pt idx="42">
                  <c:v>1515.3852528344269</c:v>
                </c:pt>
                <c:pt idx="43">
                  <c:v>1518.9499527610099</c:v>
                </c:pt>
                <c:pt idx="44">
                  <c:v>1481.18013273158</c:v>
                </c:pt>
                <c:pt idx="45">
                  <c:v>1441.2919399198684</c:v>
                </c:pt>
                <c:pt idx="46">
                  <c:v>1399.2157473425957</c:v>
                </c:pt>
                <c:pt idx="47">
                  <c:v>1354.8799902862643</c:v>
                </c:pt>
                <c:pt idx="48">
                  <c:v>1308.2111166487425</c:v>
                </c:pt>
                <c:pt idx="49">
                  <c:v>1259.1335360696053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BA-4265-BD82-730941C9F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869439"/>
        <c:axId val="409451887"/>
      </c:lineChart>
      <c:catAx>
        <c:axId val="64986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451887"/>
        <c:crosses val="autoZero"/>
        <c:auto val="1"/>
        <c:lblAlgn val="ctr"/>
        <c:lblOffset val="100"/>
        <c:noMultiLvlLbl val="0"/>
      </c:catAx>
      <c:valAx>
        <c:axId val="40945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9869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終生收支模擬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v>總收入</c:v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</c:numLit>
          </c:cat>
          <c:val>
            <c:numLit>
              <c:formatCode>General</c:formatCode>
              <c:ptCount val="11"/>
              <c:pt idx="0">
                <c:v>105</c:v>
              </c:pt>
              <c:pt idx="1">
                <c:v>111</c:v>
              </c:pt>
              <c:pt idx="2">
                <c:v>112.46000000000001</c:v>
              </c:pt>
              <c:pt idx="3">
                <c:v>113.90110000000001</c:v>
              </c:pt>
              <c:pt idx="4">
                <c:v>114.789812</c:v>
              </c:pt>
              <c:pt idx="5">
                <c:v>116.15774580999999</c:v>
              </c:pt>
              <c:pt idx="6">
                <c:v>117.4962391346</c:v>
              </c:pt>
              <c:pt idx="7">
                <c:v>114.29710946855499</c:v>
              </c:pt>
              <c:pt idx="8">
                <c:v>115.34067195584336</c:v>
              </c:pt>
              <c:pt idx="9">
                <c:v>116.33226535425227</c:v>
              </c:pt>
              <c:pt idx="10">
                <c:v>117.26710105153769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8E-45AF-93F9-28F455EAC6C3}"/>
            </c:ext>
          </c:extLst>
        </c:ser>
        <c:ser>
          <c:idx val="9"/>
          <c:order val="9"/>
          <c:tx>
            <c:v>總支出</c:v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</c:numLit>
          </c:cat>
          <c:val>
            <c:numLit>
              <c:formatCode>General</c:formatCode>
              <c:ptCount val="11"/>
              <c:pt idx="0">
                <c:v>100</c:v>
              </c:pt>
              <c:pt idx="1">
                <c:v>102</c:v>
              </c:pt>
              <c:pt idx="2">
                <c:v>104.04</c:v>
              </c:pt>
              <c:pt idx="3">
                <c:v>116.73287999999999</c:v>
              </c:pt>
              <c:pt idx="4">
                <c:v>108.243216</c:v>
              </c:pt>
              <c:pt idx="5">
                <c:v>110.40808032000001</c:v>
              </c:pt>
              <c:pt idx="6">
                <c:v>202.70923546752002</c:v>
              </c:pt>
              <c:pt idx="7">
                <c:v>114.868566764928</c:v>
              </c:pt>
              <c:pt idx="8">
                <c:v>117.16593810022657</c:v>
              </c:pt>
              <c:pt idx="9">
                <c:v>119.5092568622311</c:v>
              </c:pt>
              <c:pt idx="10">
                <c:v>121.89944199947573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8E-45AF-93F9-28F455EAC6C3}"/>
            </c:ext>
          </c:extLst>
        </c:ser>
        <c:ser>
          <c:idx val="11"/>
          <c:order val="11"/>
          <c:tx>
            <c:v>年底
生息資產</c:v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</c:numLit>
          </c:cat>
          <c:val>
            <c:numLit>
              <c:formatCode>General</c:formatCode>
              <c:ptCount val="11"/>
              <c:pt idx="0">
                <c:v>200</c:v>
              </c:pt>
              <c:pt idx="1">
                <c:v>209</c:v>
              </c:pt>
              <c:pt idx="2">
                <c:v>217.42000000000002</c:v>
              </c:pt>
              <c:pt idx="3">
                <c:v>214.58822000000004</c:v>
              </c:pt>
              <c:pt idx="4">
                <c:v>221.13481600000003</c:v>
              </c:pt>
              <c:pt idx="5">
                <c:v>226.88448149000001</c:v>
              </c:pt>
              <c:pt idx="6">
                <c:v>141.67148515707999</c:v>
              </c:pt>
              <c:pt idx="7">
                <c:v>141.10002786070697</c:v>
              </c:pt>
              <c:pt idx="8">
                <c:v>139.27476171632378</c:v>
              </c:pt>
              <c:pt idx="9">
                <c:v>136.09777020834497</c:v>
              </c:pt>
              <c:pt idx="10">
                <c:v>131.46542926040695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8E-45AF-93F9-28F455EAC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70464"/>
        <c:axId val="4526592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規劃年度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cat>
                <c:val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3-508E-45AF-93F9-28F455EAC6C3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理財目標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cat>
                <c:val>
                  <c:numLit>
                    <c:formatCode>General</c:formatCode>
                    <c:ptCount val="11"/>
                    <c:pt idx="3">
                      <c:v>0</c:v>
                    </c:pt>
                    <c:pt idx="6">
                      <c:v>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08E-45AF-93F9-28F455EAC6C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年初
生息資產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cat>
                <c:val>
                  <c:numLit>
                    <c:formatCode>General</c:formatCode>
                    <c:ptCount val="11"/>
                    <c:pt idx="1">
                      <c:v>200</c:v>
                    </c:pt>
                    <c:pt idx="2">
                      <c:v>209</c:v>
                    </c:pt>
                    <c:pt idx="3">
                      <c:v>217.42000000000002</c:v>
                    </c:pt>
                    <c:pt idx="4">
                      <c:v>214.58822000000004</c:v>
                    </c:pt>
                    <c:pt idx="5">
                      <c:v>221.13481600000003</c:v>
                    </c:pt>
                    <c:pt idx="6">
                      <c:v>226.88448149000001</c:v>
                    </c:pt>
                    <c:pt idx="7">
                      <c:v>141.67148515707999</c:v>
                    </c:pt>
                    <c:pt idx="8">
                      <c:v>141.10002786070697</c:v>
                    </c:pt>
                    <c:pt idx="9">
                      <c:v>139.27476171632378</c:v>
                    </c:pt>
                    <c:pt idx="10">
                      <c:v>136.09777020834497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08E-45AF-93F9-28F455EAC6C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生息資產
收益率</c:v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cat>
                <c:val>
                  <c:numLit>
                    <c:formatCode>General</c:formatCode>
                    <c:ptCount val="11"/>
                    <c:pt idx="1">
                      <c:v>0.05</c:v>
                    </c:pt>
                    <c:pt idx="2">
                      <c:v>0.05</c:v>
                    </c:pt>
                    <c:pt idx="3">
                      <c:v>0.05</c:v>
                    </c:pt>
                    <c:pt idx="4">
                      <c:v>0.05</c:v>
                    </c:pt>
                    <c:pt idx="5">
                      <c:v>0.05</c:v>
                    </c:pt>
                    <c:pt idx="6">
                      <c:v>0.05</c:v>
                    </c:pt>
                    <c:pt idx="7">
                      <c:v>0.05</c:v>
                    </c:pt>
                    <c:pt idx="8">
                      <c:v>0.05</c:v>
                    </c:pt>
                    <c:pt idx="9">
                      <c:v>0.05</c:v>
                    </c:pt>
                    <c:pt idx="10">
                      <c:v>0.05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08E-45AF-93F9-28F455EAC6C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工作收入</c:v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cat>
                <c:val>
                  <c:numLit>
                    <c:formatCode>General</c:formatCode>
                    <c:ptCount val="11"/>
                    <c:pt idx="0">
                      <c:v>100</c:v>
                    </c:pt>
                    <c:pt idx="1">
                      <c:v>101</c:v>
                    </c:pt>
                    <c:pt idx="2">
                      <c:v>102.01</c:v>
                    </c:pt>
                    <c:pt idx="3">
                      <c:v>103.0301</c:v>
                    </c:pt>
                    <c:pt idx="4">
                      <c:v>104.060401</c:v>
                    </c:pt>
                    <c:pt idx="5">
                      <c:v>105.10100500999999</c:v>
                    </c:pt>
                    <c:pt idx="6">
                      <c:v>106.1520150601</c:v>
                    </c:pt>
                    <c:pt idx="7">
                      <c:v>107.213535210701</c:v>
                    </c:pt>
                    <c:pt idx="8">
                      <c:v>108.28567056280801</c:v>
                    </c:pt>
                    <c:pt idx="9">
                      <c:v>109.36852726843608</c:v>
                    </c:pt>
                    <c:pt idx="10">
                      <c:v>110.46221254112045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08E-45AF-93F9-28F455EAC6C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生息資產
收入</c:v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cat>
                <c:val>
                  <c:numLit>
                    <c:formatCode>General</c:formatCode>
                    <c:ptCount val="11"/>
                    <c:pt idx="0">
                      <c:v>5</c:v>
                    </c:pt>
                    <c:pt idx="1">
                      <c:v>10</c:v>
                    </c:pt>
                    <c:pt idx="2">
                      <c:v>10.450000000000001</c:v>
                    </c:pt>
                    <c:pt idx="3">
                      <c:v>10.871000000000002</c:v>
                    </c:pt>
                    <c:pt idx="4">
                      <c:v>10.729411000000002</c:v>
                    </c:pt>
                    <c:pt idx="5">
                      <c:v>11.056740800000002</c:v>
                    </c:pt>
                    <c:pt idx="6">
                      <c:v>11.344224074500001</c:v>
                    </c:pt>
                    <c:pt idx="7">
                      <c:v>7.083574257854</c:v>
                    </c:pt>
                    <c:pt idx="8">
                      <c:v>7.055001393035349</c:v>
                    </c:pt>
                    <c:pt idx="9">
                      <c:v>6.963738085816189</c:v>
                    </c:pt>
                    <c:pt idx="10">
                      <c:v>6.804888510417249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08E-45AF-93F9-28F455EAC6C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一般支出</c:v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cat>
                <c:val>
                  <c:numLit>
                    <c:formatCode>General</c:formatCode>
                    <c:ptCount val="11"/>
                    <c:pt idx="0">
                      <c:v>100</c:v>
                    </c:pt>
                    <c:pt idx="1">
                      <c:v>102</c:v>
                    </c:pt>
                    <c:pt idx="2">
                      <c:v>104.04</c:v>
                    </c:pt>
                    <c:pt idx="3">
                      <c:v>106.1208</c:v>
                    </c:pt>
                    <c:pt idx="4">
                      <c:v>108.243216</c:v>
                    </c:pt>
                    <c:pt idx="5">
                      <c:v>110.40808032000001</c:v>
                    </c:pt>
                    <c:pt idx="6">
                      <c:v>112.61624192640001</c:v>
                    </c:pt>
                    <c:pt idx="7">
                      <c:v>114.868566764928</c:v>
                    </c:pt>
                    <c:pt idx="8">
                      <c:v>117.16593810022657</c:v>
                    </c:pt>
                    <c:pt idx="9">
                      <c:v>119.5092568622311</c:v>
                    </c:pt>
                    <c:pt idx="10">
                      <c:v>121.89944199947573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08E-45AF-93F9-28F455EAC6C3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理財目標
支出</c:v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cat>
                <c:val>
                  <c:numLit>
                    <c:formatCode>General</c:formatCode>
                    <c:ptCount val="11"/>
                    <c:pt idx="3">
                      <c:v>10.612079999999999</c:v>
                    </c:pt>
                    <c:pt idx="6">
                      <c:v>90.092993541120009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08E-45AF-93F9-28F455EAC6C3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自由儲蓄</c:v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</c:numLit>
                </c:cat>
                <c:val>
                  <c:numLit>
                    <c:formatCode>General</c:formatCode>
                    <c:ptCount val="11"/>
                    <c:pt idx="0">
                      <c:v>5</c:v>
                    </c:pt>
                    <c:pt idx="1">
                      <c:v>9</c:v>
                    </c:pt>
                    <c:pt idx="2">
                      <c:v>8.4200000000000017</c:v>
                    </c:pt>
                    <c:pt idx="3">
                      <c:v>-2.8317799999999806</c:v>
                    </c:pt>
                    <c:pt idx="4">
                      <c:v>6.5465959999999939</c:v>
                    </c:pt>
                    <c:pt idx="5">
                      <c:v>5.7496654899999839</c:v>
                    </c:pt>
                    <c:pt idx="6">
                      <c:v>-85.212996332920014</c:v>
                    </c:pt>
                    <c:pt idx="7">
                      <c:v>-0.57145729637301201</c:v>
                    </c:pt>
                    <c:pt idx="8">
                      <c:v>-1.8252661443832068</c:v>
                    </c:pt>
                    <c:pt idx="9">
                      <c:v>-3.1769915079788262</c:v>
                    </c:pt>
                    <c:pt idx="10">
                      <c:v>-4.6323409479380331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08E-45AF-93F9-28F455EAC6C3}"/>
                  </c:ext>
                </c:extLst>
              </c15:ser>
            </c15:filteredLineSeries>
          </c:ext>
        </c:extLst>
      </c:lineChart>
      <c:catAx>
        <c:axId val="452670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規劃年度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659232"/>
        <c:crosses val="autoZero"/>
        <c:auto val="1"/>
        <c:lblAlgn val="ctr"/>
        <c:lblOffset val="100"/>
        <c:noMultiLvlLbl val="0"/>
      </c:catAx>
      <c:valAx>
        <c:axId val="45265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萬元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6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省著點花!$U$1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省著點花!$E$4:$E$53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省著點花!$U$4:$U$53</c:f>
              <c:numCache>
                <c:formatCode>0</c:formatCode>
                <c:ptCount val="50"/>
                <c:pt idx="0">
                  <c:v>147.22</c:v>
                </c:pt>
                <c:pt idx="1">
                  <c:v>149.575456</c:v>
                </c:pt>
                <c:pt idx="2">
                  <c:v>152.00180336</c:v>
                </c:pt>
                <c:pt idx="3">
                  <c:v>154.49348635679999</c:v>
                </c:pt>
                <c:pt idx="4">
                  <c:v>156.19477263431997</c:v>
                </c:pt>
                <c:pt idx="5">
                  <c:v>158.61127538706</c:v>
                </c:pt>
                <c:pt idx="6">
                  <c:v>161.29448747876694</c:v>
                </c:pt>
                <c:pt idx="7">
                  <c:v>163.36224005238219</c:v>
                </c:pt>
                <c:pt idx="8">
                  <c:v>164.50523274867183</c:v>
                </c:pt>
                <c:pt idx="9">
                  <c:v>167.76328984188982</c:v>
                </c:pt>
                <c:pt idx="10">
                  <c:v>167.22635884222609</c:v>
                </c:pt>
                <c:pt idx="11">
                  <c:v>173.47956841027568</c:v>
                </c:pt>
                <c:pt idx="12">
                  <c:v>175.62575420161679</c:v>
                </c:pt>
                <c:pt idx="13">
                  <c:v>180.00859925924786</c:v>
                </c:pt>
                <c:pt idx="14">
                  <c:v>184.56185843341987</c:v>
                </c:pt>
                <c:pt idx="15">
                  <c:v>189.28831469524363</c:v>
                </c:pt>
                <c:pt idx="16">
                  <c:v>195.73486070680494</c:v>
                </c:pt>
                <c:pt idx="17">
                  <c:v>202.43026316668639</c:v>
                </c:pt>
                <c:pt idx="18">
                  <c:v>209.36499568961847</c:v>
                </c:pt>
                <c:pt idx="19">
                  <c:v>216.56764431459737</c:v>
                </c:pt>
                <c:pt idx="20">
                  <c:v>219.88822303660018</c:v>
                </c:pt>
                <c:pt idx="21">
                  <c:v>228.87658778633678</c:v>
                </c:pt>
                <c:pt idx="22">
                  <c:v>238.22237575032941</c:v>
                </c:pt>
                <c:pt idx="23">
                  <c:v>247.93997810871056</c:v>
                </c:pt>
                <c:pt idx="24">
                  <c:v>391.9978445294775</c:v>
                </c:pt>
                <c:pt idx="25">
                  <c:v>145.92719154955466</c:v>
                </c:pt>
                <c:pt idx="26">
                  <c:v>147.82614646731136</c:v>
                </c:pt>
                <c:pt idx="27">
                  <c:v>149.74436870515851</c:v>
                </c:pt>
                <c:pt idx="28">
                  <c:v>151.68186937393261</c:v>
                </c:pt>
                <c:pt idx="29">
                  <c:v>153.63865232197563</c:v>
                </c:pt>
                <c:pt idx="30">
                  <c:v>155.61471384019077</c:v>
                </c:pt>
                <c:pt idx="31">
                  <c:v>157.61004235820576</c:v>
                </c:pt>
                <c:pt idx="32">
                  <c:v>159.62461813140524</c:v>
                </c:pt>
                <c:pt idx="33">
                  <c:v>161.65841291858945</c:v>
                </c:pt>
                <c:pt idx="34">
                  <c:v>163.71138965000844</c:v>
                </c:pt>
                <c:pt idx="35">
                  <c:v>165.78350208551677</c:v>
                </c:pt>
                <c:pt idx="36">
                  <c:v>167.95869446258544</c:v>
                </c:pt>
                <c:pt idx="37">
                  <c:v>170.15458113390264</c:v>
                </c:pt>
                <c:pt idx="38">
                  <c:v>172.37111979428747</c:v>
                </c:pt>
                <c:pt idx="39">
                  <c:v>174.60825816863417</c:v>
                </c:pt>
                <c:pt idx="40">
                  <c:v>176.86593363003698</c:v>
                </c:pt>
                <c:pt idx="41">
                  <c:v>179.14407280662846</c:v>
                </c:pt>
                <c:pt idx="42">
                  <c:v>181.44259117683163</c:v>
                </c:pt>
                <c:pt idx="43">
                  <c:v>183.76139265272022</c:v>
                </c:pt>
                <c:pt idx="44">
                  <c:v>146.03080655123011</c:v>
                </c:pt>
                <c:pt idx="45">
                  <c:v>147.58844630056171</c:v>
                </c:pt>
                <c:pt idx="46">
                  <c:v>149.14997931724608</c:v>
                </c:pt>
                <c:pt idx="47">
                  <c:v>150.71493827607762</c:v>
                </c:pt>
                <c:pt idx="48">
                  <c:v>152.28283560153551</c:v>
                </c:pt>
                <c:pt idx="49">
                  <c:v>153.85316284470127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7-46AF-ABAC-628494712262}"/>
            </c:ext>
          </c:extLst>
        </c:ser>
        <c:ser>
          <c:idx val="1"/>
          <c:order val="1"/>
          <c:tx>
            <c:strRef>
              <c:f>省著點花!$AM$1</c:f>
              <c:strCache>
                <c:ptCount val="1"/>
                <c:pt idx="0">
                  <c:v>自由
儲蓄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省著點花!$E$4:$E$53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省著點花!$AL$4:$AL$53</c:f>
              <c:numCache>
                <c:formatCode>0</c:formatCode>
                <c:ptCount val="50"/>
                <c:pt idx="0">
                  <c:v>139.6336</c:v>
                </c:pt>
                <c:pt idx="1">
                  <c:v>141.03067200000001</c:v>
                </c:pt>
                <c:pt idx="2">
                  <c:v>142.65168543999999</c:v>
                </c:pt>
                <c:pt idx="3">
                  <c:v>165.74576234879999</c:v>
                </c:pt>
                <c:pt idx="4">
                  <c:v>147.29969581273599</c:v>
                </c:pt>
                <c:pt idx="5">
                  <c:v>150.16879037487871</c:v>
                </c:pt>
                <c:pt idx="6">
                  <c:v>166.00174272828704</c:v>
                </c:pt>
                <c:pt idx="7">
                  <c:v>192.09136520289812</c:v>
                </c:pt>
                <c:pt idx="8">
                  <c:v>141.2764269189521</c:v>
                </c:pt>
                <c:pt idx="9">
                  <c:v>240.34396485696413</c:v>
                </c:pt>
                <c:pt idx="10">
                  <c:v>124.99668485661147</c:v>
                </c:pt>
                <c:pt idx="11">
                  <c:v>126.90939436110368</c:v>
                </c:pt>
                <c:pt idx="12">
                  <c:v>128.11598224832576</c:v>
                </c:pt>
                <c:pt idx="13">
                  <c:v>129.24070189329228</c:v>
                </c:pt>
                <c:pt idx="14">
                  <c:v>130.48391593115812</c:v>
                </c:pt>
                <c:pt idx="15">
                  <c:v>93.245994249781305</c:v>
                </c:pt>
                <c:pt idx="16">
                  <c:v>94.52731413477693</c:v>
                </c:pt>
                <c:pt idx="17">
                  <c:v>96.314311386304482</c:v>
                </c:pt>
                <c:pt idx="18">
                  <c:v>97.644997614030558</c:v>
                </c:pt>
                <c:pt idx="19">
                  <c:v>203.01261528479597</c:v>
                </c:pt>
                <c:pt idx="20">
                  <c:v>65.771492185470265</c:v>
                </c:pt>
                <c:pt idx="21">
                  <c:v>66.977322029179689</c:v>
                </c:pt>
                <c:pt idx="22">
                  <c:v>68.201268469763278</c:v>
                </c:pt>
                <c:pt idx="23">
                  <c:v>69.677419969462534</c:v>
                </c:pt>
                <c:pt idx="24">
                  <c:v>122.32363160146052</c:v>
                </c:pt>
                <c:pt idx="25">
                  <c:v>124.68610423348973</c:v>
                </c:pt>
                <c:pt idx="26">
                  <c:v>127.09582631815952</c:v>
                </c:pt>
                <c:pt idx="27">
                  <c:v>129.5537428445227</c:v>
                </c:pt>
                <c:pt idx="28">
                  <c:v>132.06081770141316</c:v>
                </c:pt>
                <c:pt idx="29">
                  <c:v>134.61803405544143</c:v>
                </c:pt>
                <c:pt idx="30">
                  <c:v>137.22639473655025</c:v>
                </c:pt>
                <c:pt idx="31">
                  <c:v>139.88692263128127</c:v>
                </c:pt>
                <c:pt idx="32">
                  <c:v>142.60066108390689</c:v>
                </c:pt>
                <c:pt idx="33">
                  <c:v>145.36867430558502</c:v>
                </c:pt>
                <c:pt idx="34">
                  <c:v>148.19204779169672</c:v>
                </c:pt>
                <c:pt idx="35">
                  <c:v>146.87188874753068</c:v>
                </c:pt>
                <c:pt idx="36">
                  <c:v>149.80932652248129</c:v>
                </c:pt>
                <c:pt idx="37">
                  <c:v>152.80551305293091</c:v>
                </c:pt>
                <c:pt idx="38">
                  <c:v>155.86162331398953</c:v>
                </c:pt>
                <c:pt idx="39">
                  <c:v>158.97885578026933</c:v>
                </c:pt>
                <c:pt idx="40">
                  <c:v>162.15843289587471</c:v>
                </c:pt>
                <c:pt idx="41">
                  <c:v>165.4016015537922</c:v>
                </c:pt>
                <c:pt idx="42">
                  <c:v>168.70963358486804</c:v>
                </c:pt>
                <c:pt idx="43">
                  <c:v>172.0838262565654</c:v>
                </c:pt>
                <c:pt idx="44">
                  <c:v>175.5255027816967</c:v>
                </c:pt>
                <c:pt idx="45">
                  <c:v>179.03601283733065</c:v>
                </c:pt>
                <c:pt idx="46">
                  <c:v>182.61673309407726</c:v>
                </c:pt>
                <c:pt idx="47">
                  <c:v>186.26906775595882</c:v>
                </c:pt>
                <c:pt idx="48">
                  <c:v>189.99444911107798</c:v>
                </c:pt>
                <c:pt idx="49">
                  <c:v>193.79433809329956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7-46AF-ABAC-628494712262}"/>
            </c:ext>
          </c:extLst>
        </c:ser>
        <c:ser>
          <c:idx val="2"/>
          <c:order val="2"/>
          <c:tx>
            <c:strRef>
              <c:f>省著點花!$AN$1</c:f>
              <c:strCache>
                <c:ptCount val="1"/>
                <c:pt idx="0">
                  <c:v>期末
生息資產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省著點花!$E$4:$E$53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省著點花!$AN$4:$AN$53</c:f>
              <c:numCache>
                <c:formatCode>0</c:formatCode>
                <c:ptCount val="50"/>
                <c:pt idx="0">
                  <c:v>62.586399999999998</c:v>
                </c:pt>
                <c:pt idx="1">
                  <c:v>71.13118399999999</c:v>
                </c:pt>
                <c:pt idx="2">
                  <c:v>80.481301919999993</c:v>
                </c:pt>
                <c:pt idx="3">
                  <c:v>69.229025927999999</c:v>
                </c:pt>
                <c:pt idx="4">
                  <c:v>78.124102749583983</c:v>
                </c:pt>
                <c:pt idx="5">
                  <c:v>86.566587761765277</c:v>
                </c:pt>
                <c:pt idx="6">
                  <c:v>81.859332512245174</c:v>
                </c:pt>
                <c:pt idx="7">
                  <c:v>53.130207361729248</c:v>
                </c:pt>
                <c:pt idx="8">
                  <c:v>76.35901319144898</c:v>
                </c:pt>
                <c:pt idx="9">
                  <c:v>3.7783381763746604</c:v>
                </c:pt>
                <c:pt idx="10">
                  <c:v>46.008012161989285</c:v>
                </c:pt>
                <c:pt idx="11">
                  <c:v>92.578186211161281</c:v>
                </c:pt>
                <c:pt idx="12">
                  <c:v>140.08795816445229</c:v>
                </c:pt>
                <c:pt idx="13">
                  <c:v>190.85585553040787</c:v>
                </c:pt>
                <c:pt idx="14">
                  <c:v>244.93379803266961</c:v>
                </c:pt>
                <c:pt idx="15">
                  <c:v>340.97611847813192</c:v>
                </c:pt>
                <c:pt idx="16">
                  <c:v>442.1836650501599</c:v>
                </c:pt>
                <c:pt idx="17">
                  <c:v>548.29961683054182</c:v>
                </c:pt>
                <c:pt idx="18">
                  <c:v>660.01961490612973</c:v>
                </c:pt>
                <c:pt idx="19">
                  <c:v>673.57464393593114</c:v>
                </c:pt>
                <c:pt idx="20">
                  <c:v>827.69137478706102</c:v>
                </c:pt>
                <c:pt idx="21">
                  <c:v>989.5906405442181</c:v>
                </c:pt>
                <c:pt idx="22">
                  <c:v>1159.6117478247843</c:v>
                </c:pt>
                <c:pt idx="23">
                  <c:v>1337.8743059640324</c:v>
                </c:pt>
                <c:pt idx="24">
                  <c:v>1607.5485188920493</c:v>
                </c:pt>
                <c:pt idx="25">
                  <c:v>1628.7896062081143</c:v>
                </c:pt>
                <c:pt idx="26">
                  <c:v>1649.5199263572661</c:v>
                </c:pt>
                <c:pt idx="27">
                  <c:v>1669.7105522179017</c:v>
                </c:pt>
                <c:pt idx="28">
                  <c:v>1689.3316038904213</c:v>
                </c:pt>
                <c:pt idx="29">
                  <c:v>1708.3522221569556</c:v>
                </c:pt>
                <c:pt idx="30">
                  <c:v>1726.740541260596</c:v>
                </c:pt>
                <c:pt idx="31">
                  <c:v>1744.4636609875206</c:v>
                </c:pt>
                <c:pt idx="32">
                  <c:v>1761.4876180350188</c:v>
                </c:pt>
                <c:pt idx="33">
                  <c:v>1777.7773566480232</c:v>
                </c:pt>
                <c:pt idx="34">
                  <c:v>1793.2966985063349</c:v>
                </c:pt>
                <c:pt idx="35">
                  <c:v>1812.2083118443211</c:v>
                </c:pt>
                <c:pt idx="36">
                  <c:v>1830.3576797844253</c:v>
                </c:pt>
                <c:pt idx="37">
                  <c:v>1847.7067478653971</c:v>
                </c:pt>
                <c:pt idx="38">
                  <c:v>1864.216244345695</c:v>
                </c:pt>
                <c:pt idx="39">
                  <c:v>1879.8456467340598</c:v>
                </c:pt>
                <c:pt idx="40">
                  <c:v>1894.5531474682221</c:v>
                </c:pt>
                <c:pt idx="41">
                  <c:v>1908.2956187210584</c:v>
                </c:pt>
                <c:pt idx="42">
                  <c:v>1921.0285763130221</c:v>
                </c:pt>
                <c:pt idx="43">
                  <c:v>1932.7061427091769</c:v>
                </c:pt>
                <c:pt idx="44">
                  <c:v>1903.2114464787103</c:v>
                </c:pt>
                <c:pt idx="45">
                  <c:v>1871.7638799419415</c:v>
                </c:pt>
                <c:pt idx="46">
                  <c:v>1838.2971261651103</c:v>
                </c:pt>
                <c:pt idx="47">
                  <c:v>1802.7429966852292</c:v>
                </c:pt>
                <c:pt idx="48">
                  <c:v>1765.0313831756866</c:v>
                </c:pt>
                <c:pt idx="49">
                  <c:v>1725.0902079270884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47-46AF-ABAC-628494712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233007"/>
        <c:axId val="729931231"/>
      </c:lineChart>
      <c:catAx>
        <c:axId val="72523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29931231"/>
        <c:crosses val="autoZero"/>
        <c:auto val="1"/>
        <c:lblAlgn val="ctr"/>
        <c:lblOffset val="100"/>
        <c:noMultiLvlLbl val="0"/>
      </c:catAx>
      <c:valAx>
        <c:axId val="72993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25233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延後買車!$U$1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延後買車!$E$4:$E$53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延後買車!$U$4:$U$53</c:f>
              <c:numCache>
                <c:formatCode>0</c:formatCode>
                <c:ptCount val="50"/>
                <c:pt idx="0">
                  <c:v>147.22</c:v>
                </c:pt>
                <c:pt idx="1">
                  <c:v>149.575456</c:v>
                </c:pt>
                <c:pt idx="2">
                  <c:v>152.00180336</c:v>
                </c:pt>
                <c:pt idx="3">
                  <c:v>154.49348635679999</c:v>
                </c:pt>
                <c:pt idx="4">
                  <c:v>156.19477263431997</c:v>
                </c:pt>
                <c:pt idx="5">
                  <c:v>158.61127538706</c:v>
                </c:pt>
                <c:pt idx="6">
                  <c:v>161.29448747876694</c:v>
                </c:pt>
                <c:pt idx="7">
                  <c:v>163.36224005238219</c:v>
                </c:pt>
                <c:pt idx="8">
                  <c:v>164.50523274867183</c:v>
                </c:pt>
                <c:pt idx="9">
                  <c:v>167.76328984188982</c:v>
                </c:pt>
                <c:pt idx="10">
                  <c:v>170.63954321821143</c:v>
                </c:pt>
                <c:pt idx="11">
                  <c:v>173.47956841027568</c:v>
                </c:pt>
                <c:pt idx="12">
                  <c:v>175.69401788913649</c:v>
                </c:pt>
                <c:pt idx="13">
                  <c:v>180.07959349426835</c:v>
                </c:pt>
                <c:pt idx="14">
                  <c:v>184.63569243784119</c:v>
                </c:pt>
                <c:pt idx="15">
                  <c:v>189.36510205984177</c:v>
                </c:pt>
                <c:pt idx="16">
                  <c:v>195.81471956598705</c:v>
                </c:pt>
                <c:pt idx="17">
                  <c:v>202.51331638023578</c:v>
                </c:pt>
                <c:pt idx="18">
                  <c:v>209.45137103170981</c:v>
                </c:pt>
                <c:pt idx="19">
                  <c:v>216.65747467037238</c:v>
                </c:pt>
                <c:pt idx="20">
                  <c:v>219.9816466066062</c:v>
                </c:pt>
                <c:pt idx="21">
                  <c:v>228.97374829914304</c:v>
                </c:pt>
                <c:pt idx="22">
                  <c:v>238.32342268364789</c:v>
                </c:pt>
                <c:pt idx="23">
                  <c:v>248.0450669193618</c:v>
                </c:pt>
                <c:pt idx="24">
                  <c:v>392.05249071101616</c:v>
                </c:pt>
                <c:pt idx="25">
                  <c:v>145.9829306547241</c:v>
                </c:pt>
                <c:pt idx="26">
                  <c:v>147.88300035458417</c:v>
                </c:pt>
                <c:pt idx="27">
                  <c:v>149.80235967017677</c:v>
                </c:pt>
                <c:pt idx="28">
                  <c:v>151.74102015825125</c:v>
                </c:pt>
                <c:pt idx="29">
                  <c:v>153.69898612198062</c:v>
                </c:pt>
                <c:pt idx="30">
                  <c:v>155.67625431619589</c:v>
                </c:pt>
                <c:pt idx="31">
                  <c:v>157.67281364373096</c:v>
                </c:pt>
                <c:pt idx="32">
                  <c:v>159.68864484264094</c:v>
                </c:pt>
                <c:pt idx="33">
                  <c:v>161.72372016404987</c:v>
                </c:pt>
                <c:pt idx="34">
                  <c:v>163.77800304037808</c:v>
                </c:pt>
                <c:pt idx="35">
                  <c:v>165.8514477436938</c:v>
                </c:pt>
                <c:pt idx="36">
                  <c:v>168.02799903392599</c:v>
                </c:pt>
                <c:pt idx="37">
                  <c:v>170.22527179667</c:v>
                </c:pt>
                <c:pt idx="38">
                  <c:v>172.4432242703102</c:v>
                </c:pt>
                <c:pt idx="39">
                  <c:v>174.68180473417732</c:v>
                </c:pt>
                <c:pt idx="40">
                  <c:v>176.94095112689101</c:v>
                </c:pt>
                <c:pt idx="41">
                  <c:v>179.22059065341961</c:v>
                </c:pt>
                <c:pt idx="42">
                  <c:v>181.52063938055855</c:v>
                </c:pt>
                <c:pt idx="43">
                  <c:v>183.84100182052168</c:v>
                </c:pt>
                <c:pt idx="44">
                  <c:v>146.1120079023876</c:v>
                </c:pt>
                <c:pt idx="45">
                  <c:v>147.67127167874236</c:v>
                </c:pt>
                <c:pt idx="46">
                  <c:v>149.23446120299033</c:v>
                </c:pt>
                <c:pt idx="47">
                  <c:v>150.80110979953676</c:v>
                </c:pt>
                <c:pt idx="48">
                  <c:v>152.37073055546384</c:v>
                </c:pt>
                <c:pt idx="49">
                  <c:v>153.94281569770817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2-4A25-B12D-70B0D800CF14}"/>
            </c:ext>
          </c:extLst>
        </c:ser>
        <c:ser>
          <c:idx val="1"/>
          <c:order val="1"/>
          <c:tx>
            <c:strRef>
              <c:f>延後買車!$AL$1</c:f>
              <c:strCache>
                <c:ptCount val="1"/>
                <c:pt idx="0">
                  <c:v>支出
合計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延後買車!$E$4:$E$53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延後買車!$AL$4:$AL$53</c:f>
              <c:numCache>
                <c:formatCode>0</c:formatCode>
                <c:ptCount val="50"/>
                <c:pt idx="0">
                  <c:v>139.6336</c:v>
                </c:pt>
                <c:pt idx="1">
                  <c:v>141.03067200000001</c:v>
                </c:pt>
                <c:pt idx="2">
                  <c:v>142.65168543999999</c:v>
                </c:pt>
                <c:pt idx="3">
                  <c:v>165.74576234879999</c:v>
                </c:pt>
                <c:pt idx="4">
                  <c:v>147.29969581273599</c:v>
                </c:pt>
                <c:pt idx="5">
                  <c:v>150.16879037487871</c:v>
                </c:pt>
                <c:pt idx="6">
                  <c:v>166.00174272828704</c:v>
                </c:pt>
                <c:pt idx="7">
                  <c:v>192.09136520289812</c:v>
                </c:pt>
                <c:pt idx="8">
                  <c:v>141.2764269189521</c:v>
                </c:pt>
                <c:pt idx="9">
                  <c:v>155.01435545733113</c:v>
                </c:pt>
                <c:pt idx="10">
                  <c:v>212.03288644423714</c:v>
                </c:pt>
                <c:pt idx="11">
                  <c:v>126.90939436110368</c:v>
                </c:pt>
                <c:pt idx="12">
                  <c:v>128.11598224832576</c:v>
                </c:pt>
                <c:pt idx="13">
                  <c:v>129.24070189329228</c:v>
                </c:pt>
                <c:pt idx="14">
                  <c:v>130.48391593115812</c:v>
                </c:pt>
                <c:pt idx="15">
                  <c:v>93.245994249781305</c:v>
                </c:pt>
                <c:pt idx="16">
                  <c:v>94.52731413477693</c:v>
                </c:pt>
                <c:pt idx="17">
                  <c:v>96.314311386304482</c:v>
                </c:pt>
                <c:pt idx="18">
                  <c:v>97.644997614030558</c:v>
                </c:pt>
                <c:pt idx="19">
                  <c:v>203.01261528479597</c:v>
                </c:pt>
                <c:pt idx="20">
                  <c:v>65.771492185470265</c:v>
                </c:pt>
                <c:pt idx="21">
                  <c:v>66.977322029179689</c:v>
                </c:pt>
                <c:pt idx="22">
                  <c:v>68.201268469763278</c:v>
                </c:pt>
                <c:pt idx="23">
                  <c:v>69.677419969462534</c:v>
                </c:pt>
                <c:pt idx="24">
                  <c:v>122.32363160146052</c:v>
                </c:pt>
                <c:pt idx="25">
                  <c:v>124.68610423348973</c:v>
                </c:pt>
                <c:pt idx="26">
                  <c:v>127.09582631815952</c:v>
                </c:pt>
                <c:pt idx="27">
                  <c:v>129.5537428445227</c:v>
                </c:pt>
                <c:pt idx="28">
                  <c:v>132.06081770141316</c:v>
                </c:pt>
                <c:pt idx="29">
                  <c:v>134.61803405544143</c:v>
                </c:pt>
                <c:pt idx="30">
                  <c:v>137.22639473655025</c:v>
                </c:pt>
                <c:pt idx="31">
                  <c:v>139.88692263128127</c:v>
                </c:pt>
                <c:pt idx="32">
                  <c:v>142.60066108390689</c:v>
                </c:pt>
                <c:pt idx="33">
                  <c:v>145.36867430558502</c:v>
                </c:pt>
                <c:pt idx="34">
                  <c:v>148.19204779169672</c:v>
                </c:pt>
                <c:pt idx="35">
                  <c:v>146.87188874753068</c:v>
                </c:pt>
                <c:pt idx="36">
                  <c:v>149.80932652248129</c:v>
                </c:pt>
                <c:pt idx="37">
                  <c:v>152.80551305293091</c:v>
                </c:pt>
                <c:pt idx="38">
                  <c:v>155.86162331398953</c:v>
                </c:pt>
                <c:pt idx="39">
                  <c:v>158.97885578026933</c:v>
                </c:pt>
                <c:pt idx="40">
                  <c:v>162.15843289587471</c:v>
                </c:pt>
                <c:pt idx="41">
                  <c:v>165.4016015537922</c:v>
                </c:pt>
                <c:pt idx="42">
                  <c:v>168.70963358486804</c:v>
                </c:pt>
                <c:pt idx="43">
                  <c:v>172.0838262565654</c:v>
                </c:pt>
                <c:pt idx="44">
                  <c:v>175.5255027816967</c:v>
                </c:pt>
                <c:pt idx="45">
                  <c:v>179.03601283733065</c:v>
                </c:pt>
                <c:pt idx="46">
                  <c:v>182.61673309407726</c:v>
                </c:pt>
                <c:pt idx="47">
                  <c:v>186.26906775595882</c:v>
                </c:pt>
                <c:pt idx="48">
                  <c:v>189.99444911107798</c:v>
                </c:pt>
                <c:pt idx="49">
                  <c:v>193.79433809329956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2-4A25-B12D-70B0D800CF14}"/>
            </c:ext>
          </c:extLst>
        </c:ser>
        <c:ser>
          <c:idx val="2"/>
          <c:order val="2"/>
          <c:tx>
            <c:strRef>
              <c:f>延後買車!$AN$1</c:f>
              <c:strCache>
                <c:ptCount val="1"/>
                <c:pt idx="0">
                  <c:v>期末
生息資產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延後買車!$E$4:$E$53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延後買車!$AN$2:$AN$53</c:f>
              <c:numCache>
                <c:formatCode>0</c:formatCode>
                <c:ptCount val="52"/>
                <c:pt idx="1">
                  <c:v>55</c:v>
                </c:pt>
                <c:pt idx="2">
                  <c:v>62.586399999999998</c:v>
                </c:pt>
                <c:pt idx="3">
                  <c:v>71.13118399999999</c:v>
                </c:pt>
                <c:pt idx="4">
                  <c:v>80.481301919999993</c:v>
                </c:pt>
                <c:pt idx="5">
                  <c:v>69.229025927999999</c:v>
                </c:pt>
                <c:pt idx="6">
                  <c:v>78.124102749583983</c:v>
                </c:pt>
                <c:pt idx="7">
                  <c:v>86.566587761765277</c:v>
                </c:pt>
                <c:pt idx="8">
                  <c:v>81.859332512245174</c:v>
                </c:pt>
                <c:pt idx="9">
                  <c:v>53.130207361729248</c:v>
                </c:pt>
                <c:pt idx="10">
                  <c:v>76.35901319144898</c:v>
                </c:pt>
                <c:pt idx="11">
                  <c:v>89.10794757600766</c:v>
                </c:pt>
                <c:pt idx="12">
                  <c:v>47.714604349981954</c:v>
                </c:pt>
                <c:pt idx="13">
                  <c:v>94.28477839915395</c:v>
                </c:pt>
                <c:pt idx="14">
                  <c:v>141.86281403996469</c:v>
                </c:pt>
                <c:pt idx="15">
                  <c:v>192.70170564094076</c:v>
                </c:pt>
                <c:pt idx="16">
                  <c:v>246.85348214762382</c:v>
                </c:pt>
                <c:pt idx="17">
                  <c:v>342.97258995768431</c:v>
                </c:pt>
                <c:pt idx="18">
                  <c:v>444.25999538889442</c:v>
                </c:pt>
                <c:pt idx="19">
                  <c:v>550.45900038282571</c:v>
                </c:pt>
                <c:pt idx="20">
                  <c:v>662.2653738005049</c:v>
                </c:pt>
                <c:pt idx="21">
                  <c:v>675.91023318608131</c:v>
                </c:pt>
                <c:pt idx="22">
                  <c:v>830.12038760721725</c:v>
                </c:pt>
                <c:pt idx="23">
                  <c:v>992.11681387718068</c:v>
                </c:pt>
                <c:pt idx="24">
                  <c:v>1162.2389680910653</c:v>
                </c:pt>
                <c:pt idx="25">
                  <c:v>1340.6066150409647</c:v>
                </c:pt>
                <c:pt idx="26">
                  <c:v>1610.3354741505204</c:v>
                </c:pt>
                <c:pt idx="27">
                  <c:v>1631.6323005717547</c:v>
                </c:pt>
                <c:pt idx="28">
                  <c:v>1652.4194746081794</c:v>
                </c:pt>
                <c:pt idx="29">
                  <c:v>1672.6680914338335</c:v>
                </c:pt>
                <c:pt idx="30">
                  <c:v>1692.3482938906716</c:v>
                </c:pt>
                <c:pt idx="31">
                  <c:v>1711.4292459572107</c:v>
                </c:pt>
                <c:pt idx="32">
                  <c:v>1729.8791055368563</c:v>
                </c:pt>
                <c:pt idx="33">
                  <c:v>1747.6649965493059</c:v>
                </c:pt>
                <c:pt idx="34">
                  <c:v>1764.7529803080399</c:v>
                </c:pt>
                <c:pt idx="35">
                  <c:v>1781.1080261665047</c:v>
                </c:pt>
                <c:pt idx="36">
                  <c:v>1796.693981415186</c:v>
                </c:pt>
                <c:pt idx="37">
                  <c:v>1815.6735404113492</c:v>
                </c:pt>
                <c:pt idx="38">
                  <c:v>1833.892212922794</c:v>
                </c:pt>
                <c:pt idx="39">
                  <c:v>1851.3119716665331</c:v>
                </c:pt>
                <c:pt idx="40">
                  <c:v>1867.8935726228538</c:v>
                </c:pt>
                <c:pt idx="41">
                  <c:v>1883.5965215767617</c:v>
                </c:pt>
                <c:pt idx="42">
                  <c:v>1898.3790398077781</c:v>
                </c:pt>
                <c:pt idx="43">
                  <c:v>1912.1980289074054</c:v>
                </c:pt>
                <c:pt idx="44">
                  <c:v>1925.0090347030959</c:v>
                </c:pt>
                <c:pt idx="45">
                  <c:v>1936.7662102670522</c:v>
                </c:pt>
                <c:pt idx="46">
                  <c:v>1907.352715387743</c:v>
                </c:pt>
                <c:pt idx="47">
                  <c:v>1875.9879742291548</c:v>
                </c:pt>
                <c:pt idx="48">
                  <c:v>1842.6057023380679</c:v>
                </c:pt>
                <c:pt idx="49">
                  <c:v>1807.1377443816459</c:v>
                </c:pt>
                <c:pt idx="50">
                  <c:v>1769.5140258260317</c:v>
                </c:pt>
                <c:pt idx="51">
                  <c:v>1729.6625034304402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92-4A25-B12D-70B0D800C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869439"/>
        <c:axId val="409451887"/>
      </c:lineChart>
      <c:catAx>
        <c:axId val="64986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451887"/>
        <c:crosses val="autoZero"/>
        <c:auto val="1"/>
        <c:lblAlgn val="ctr"/>
        <c:lblOffset val="100"/>
        <c:noMultiLvlLbl val="0"/>
      </c:catAx>
      <c:valAx>
        <c:axId val="40945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9869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04643329250316E-2"/>
          <c:y val="7.3922983876683057E-2"/>
          <c:w val="0.93594239966637371"/>
          <c:h val="0.72761010717944785"/>
        </c:manualLayout>
      </c:layout>
      <c:lineChart>
        <c:grouping val="standard"/>
        <c:varyColors val="0"/>
        <c:ser>
          <c:idx val="0"/>
          <c:order val="0"/>
          <c:tx>
            <c:strRef>
              <c:f>一年後!$U$1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一年後!$E$4:$E$53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一年後!$U$4:$U$53</c:f>
              <c:numCache>
                <c:formatCode>0</c:formatCode>
                <c:ptCount val="50"/>
                <c:pt idx="0">
                  <c:v>134.07000000000002</c:v>
                </c:pt>
                <c:pt idx="1">
                  <c:v>149.0161249357827</c:v>
                </c:pt>
                <c:pt idx="2">
                  <c:v>151.31471738899668</c:v>
                </c:pt>
                <c:pt idx="3">
                  <c:v>153.65036473593923</c:v>
                </c:pt>
                <c:pt idx="4">
                  <c:v>155.13057935702747</c:v>
                </c:pt>
                <c:pt idx="5">
                  <c:v>158.95072477338502</c:v>
                </c:pt>
                <c:pt idx="6">
                  <c:v>159.77636637369869</c:v>
                </c:pt>
                <c:pt idx="7">
                  <c:v>161.48892612288981</c:v>
                </c:pt>
                <c:pt idx="8">
                  <c:v>162.1429864425663</c:v>
                </c:pt>
                <c:pt idx="9">
                  <c:v>165.03281686212242</c:v>
                </c:pt>
                <c:pt idx="10">
                  <c:v>167.49370968692074</c:v>
                </c:pt>
                <c:pt idx="11">
                  <c:v>174.26716387169384</c:v>
                </c:pt>
                <c:pt idx="12">
                  <c:v>171.6693345852631</c:v>
                </c:pt>
                <c:pt idx="13">
                  <c:v>175.68379983834782</c:v>
                </c:pt>
                <c:pt idx="14">
                  <c:v>179.83381031085253</c:v>
                </c:pt>
                <c:pt idx="15">
                  <c:v>184.11980619112956</c:v>
                </c:pt>
                <c:pt idx="16">
                  <c:v>190.19856739029268</c:v>
                </c:pt>
                <c:pt idx="17">
                  <c:v>196.48838869911822</c:v>
                </c:pt>
                <c:pt idx="18">
                  <c:v>203.00976139925268</c:v>
                </c:pt>
                <c:pt idx="19">
                  <c:v>209.75805978489231</c:v>
                </c:pt>
                <c:pt idx="20">
                  <c:v>212.58054084407749</c:v>
                </c:pt>
                <c:pt idx="21">
                  <c:v>221.10961982490153</c:v>
                </c:pt>
                <c:pt idx="22">
                  <c:v>229.95614030425844</c:v>
                </c:pt>
                <c:pt idx="23">
                  <c:v>239.13191386649228</c:v>
                </c:pt>
                <c:pt idx="24">
                  <c:v>388.45219694324322</c:v>
                </c:pt>
                <c:pt idx="25">
                  <c:v>142.4486535149245</c:v>
                </c:pt>
                <c:pt idx="26">
                  <c:v>144.41102841009146</c:v>
                </c:pt>
                <c:pt idx="27">
                  <c:v>146.38857285790777</c:v>
                </c:pt>
                <c:pt idx="28">
                  <c:v>148.38086791106883</c:v>
                </c:pt>
                <c:pt idx="29">
                  <c:v>150.38746457317325</c:v>
                </c:pt>
                <c:pt idx="30">
                  <c:v>152.40788254763623</c:v>
                </c:pt>
                <c:pt idx="31">
                  <c:v>154.44160894207843</c:v>
                </c:pt>
                <c:pt idx="32">
                  <c:v>156.48809692671421</c:v>
                </c:pt>
                <c:pt idx="33">
                  <c:v>158.5467643452165</c:v>
                </c:pt>
                <c:pt idx="34">
                  <c:v>160.61699227648791</c:v>
                </c:pt>
                <c:pt idx="35">
                  <c:v>162.6981235457157</c:v>
                </c:pt>
                <c:pt idx="36">
                  <c:v>164.87346118303904</c:v>
                </c:pt>
                <c:pt idx="37">
                  <c:v>167.05994682810109</c:v>
                </c:pt>
                <c:pt idx="38">
                  <c:v>169.25683267870642</c:v>
                </c:pt>
                <c:pt idx="39">
                  <c:v>171.46332685374517</c:v>
                </c:pt>
                <c:pt idx="40">
                  <c:v>173.67859163792863</c:v>
                </c:pt>
                <c:pt idx="41">
                  <c:v>175.90174166520899</c:v>
                </c:pt>
                <c:pt idx="42">
                  <c:v>178.13184203887064</c:v>
                </c:pt>
                <c:pt idx="43">
                  <c:v>180.36790638621625</c:v>
                </c:pt>
                <c:pt idx="44">
                  <c:v>142.53933224576224</c:v>
                </c:pt>
                <c:pt idx="45">
                  <c:v>143.98275813239567</c:v>
                </c:pt>
                <c:pt idx="46">
                  <c:v>145.41283171401332</c:v>
                </c:pt>
                <c:pt idx="47">
                  <c:v>146.82801931983244</c:v>
                </c:pt>
                <c:pt idx="48">
                  <c:v>148.22671860691406</c:v>
                </c:pt>
                <c:pt idx="49">
                  <c:v>149.60725604675787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C-48A5-B7F7-8478CDBF284A}"/>
            </c:ext>
          </c:extLst>
        </c:ser>
        <c:ser>
          <c:idx val="1"/>
          <c:order val="1"/>
          <c:tx>
            <c:strRef>
              <c:f>一年後!$AL$1</c:f>
              <c:strCache>
                <c:ptCount val="1"/>
                <c:pt idx="0">
                  <c:v>支出
合計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一年後!$E$4:$E$53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一年後!$AL$4:$AL$53</c:f>
              <c:numCache>
                <c:formatCode>0</c:formatCode>
                <c:ptCount val="50"/>
                <c:pt idx="0">
                  <c:v>143.02937660543276</c:v>
                </c:pt>
                <c:pt idx="1">
                  <c:v>145.04258860543277</c:v>
                </c:pt>
                <c:pt idx="2">
                  <c:v>147.31019696543277</c:v>
                </c:pt>
                <c:pt idx="3">
                  <c:v>171.94400977623278</c:v>
                </c:pt>
                <c:pt idx="4">
                  <c:v>154.05388743639679</c:v>
                </c:pt>
                <c:pt idx="5">
                  <c:v>157.28741638909366</c:v>
                </c:pt>
                <c:pt idx="6">
                  <c:v>175.10375506004186</c:v>
                </c:pt>
                <c:pt idx="7">
                  <c:v>204.26260004143242</c:v>
                </c:pt>
                <c:pt idx="8">
                  <c:v>150.02501547219643</c:v>
                </c:pt>
                <c:pt idx="9">
                  <c:v>164.66009663819932</c:v>
                </c:pt>
                <c:pt idx="10">
                  <c:v>228.95575442178239</c:v>
                </c:pt>
                <c:pt idx="11">
                  <c:v>133.85797271175036</c:v>
                </c:pt>
                <c:pt idx="12">
                  <c:v>135.64204259493991</c:v>
                </c:pt>
                <c:pt idx="13">
                  <c:v>137.37063457462511</c:v>
                </c:pt>
                <c:pt idx="14">
                  <c:v>139.24508431370086</c:v>
                </c:pt>
                <c:pt idx="15">
                  <c:v>99.857790939516164</c:v>
                </c:pt>
                <c:pt idx="16">
                  <c:v>101.82812466770164</c:v>
                </c:pt>
                <c:pt idx="17">
                  <c:v>103.5199408493847</c:v>
                </c:pt>
                <c:pt idx="18">
                  <c:v>105.58213907486623</c:v>
                </c:pt>
                <c:pt idx="19">
                  <c:v>211.71352096559701</c:v>
                </c:pt>
                <c:pt idx="20">
                  <c:v>73.132892999926696</c:v>
                </c:pt>
                <c:pt idx="21">
                  <c:v>75.012479789924498</c:v>
                </c:pt>
                <c:pt idx="22">
                  <c:v>76.939454183622246</c:v>
                </c:pt>
                <c:pt idx="23">
                  <c:v>78.198505657724908</c:v>
                </c:pt>
                <c:pt idx="24">
                  <c:v>154.95201093510337</c:v>
                </c:pt>
                <c:pt idx="25">
                  <c:v>159.47457126315649</c:v>
                </c:pt>
                <c:pt idx="26">
                  <c:v>164.13280840105119</c:v>
                </c:pt>
                <c:pt idx="27">
                  <c:v>168.93079265308273</c:v>
                </c:pt>
                <c:pt idx="28">
                  <c:v>173.87271643267522</c:v>
                </c:pt>
                <c:pt idx="29">
                  <c:v>178.96289792565548</c:v>
                </c:pt>
                <c:pt idx="30">
                  <c:v>184.20578486342515</c:v>
                </c:pt>
                <c:pt idx="31">
                  <c:v>189.60595840932791</c:v>
                </c:pt>
                <c:pt idx="32">
                  <c:v>195.16813716160775</c:v>
                </c:pt>
                <c:pt idx="33">
                  <c:v>200.897181276456</c:v>
                </c:pt>
                <c:pt idx="34">
                  <c:v>206.79809671474968</c:v>
                </c:pt>
                <c:pt idx="35">
                  <c:v>208.67603961619218</c:v>
                </c:pt>
                <c:pt idx="36">
                  <c:v>214.93632080467796</c:v>
                </c:pt>
                <c:pt idx="37">
                  <c:v>221.38441042881831</c:v>
                </c:pt>
                <c:pt idx="38">
                  <c:v>228.02594274168285</c:v>
                </c:pt>
                <c:pt idx="39">
                  <c:v>234.86672102393334</c:v>
                </c:pt>
                <c:pt idx="40">
                  <c:v>241.91272265465133</c:v>
                </c:pt>
                <c:pt idx="41">
                  <c:v>249.17010433429087</c:v>
                </c:pt>
                <c:pt idx="42">
                  <c:v>256.64520746431958</c:v>
                </c:pt>
                <c:pt idx="43">
                  <c:v>264.3445636882492</c:v>
                </c:pt>
                <c:pt idx="44">
                  <c:v>272.27490059889669</c:v>
                </c:pt>
                <c:pt idx="45">
                  <c:v>280.4431476168636</c:v>
                </c:pt>
                <c:pt idx="46">
                  <c:v>288.85644204536953</c:v>
                </c:pt>
                <c:pt idx="47">
                  <c:v>297.5221353067306</c:v>
                </c:pt>
                <c:pt idx="48">
                  <c:v>306.44779936593255</c:v>
                </c:pt>
                <c:pt idx="49">
                  <c:v>315.64123334691055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C-48A5-B7F7-8478CDBF284A}"/>
            </c:ext>
          </c:extLst>
        </c:ser>
        <c:ser>
          <c:idx val="2"/>
          <c:order val="2"/>
          <c:tx>
            <c:strRef>
              <c:f>一年後!$AN$1</c:f>
              <c:strCache>
                <c:ptCount val="1"/>
                <c:pt idx="0">
                  <c:v>期末
生息資產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一年後!$E$4:$E$53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一年後!$AN$4:$AN$53</c:f>
              <c:numCache>
                <c:formatCode>0</c:formatCode>
                <c:ptCount val="50"/>
                <c:pt idx="0">
                  <c:v>46.040623394567262</c:v>
                </c:pt>
                <c:pt idx="1">
                  <c:v>50.014159724917192</c:v>
                </c:pt>
                <c:pt idx="2">
                  <c:v>54.01868014848111</c:v>
                </c:pt>
                <c:pt idx="3">
                  <c:v>35.725035108187569</c:v>
                </c:pt>
                <c:pt idx="4">
                  <c:v>36.801727028818249</c:v>
                </c:pt>
                <c:pt idx="5">
                  <c:v>38.465035413109604</c:v>
                </c:pt>
                <c:pt idx="6">
                  <c:v>23.137646726766434</c:v>
                </c:pt>
                <c:pt idx="7">
                  <c:v>-19.636027191776179</c:v>
                </c:pt>
                <c:pt idx="8">
                  <c:v>-7.5180562214063116</c:v>
                </c:pt>
                <c:pt idx="9">
                  <c:v>-7.1453359974832154</c:v>
                </c:pt>
                <c:pt idx="10">
                  <c:v>-68.607380732344865</c:v>
                </c:pt>
                <c:pt idx="11">
                  <c:v>-28.19818957240139</c:v>
                </c:pt>
                <c:pt idx="12">
                  <c:v>7.8291024179218027</c:v>
                </c:pt>
                <c:pt idx="13">
                  <c:v>46.142267681644512</c:v>
                </c:pt>
                <c:pt idx="14">
                  <c:v>86.730993678796182</c:v>
                </c:pt>
                <c:pt idx="15">
                  <c:v>170.99300893040959</c:v>
                </c:pt>
                <c:pt idx="16">
                  <c:v>259.36345165300065</c:v>
                </c:pt>
                <c:pt idx="17">
                  <c:v>352.33189950273419</c:v>
                </c:pt>
                <c:pt idx="18">
                  <c:v>449.75952182712064</c:v>
                </c:pt>
                <c:pt idx="19">
                  <c:v>447.80406064641591</c:v>
                </c:pt>
                <c:pt idx="20">
                  <c:v>587.25170849056667</c:v>
                </c:pt>
                <c:pt idx="21">
                  <c:v>733.34884852554364</c:v>
                </c:pt>
                <c:pt idx="22">
                  <c:v>886.36553464617987</c:v>
                </c:pt>
                <c:pt idx="23">
                  <c:v>1047.2989428549472</c:v>
                </c:pt>
                <c:pt idx="24">
                  <c:v>1280.7991288630869</c:v>
                </c:pt>
                <c:pt idx="25">
                  <c:v>1263.773211114855</c:v>
                </c:pt>
                <c:pt idx="26">
                  <c:v>1244.0514311238953</c:v>
                </c:pt>
                <c:pt idx="27">
                  <c:v>1221.5092113287203</c:v>
                </c:pt>
                <c:pt idx="28">
                  <c:v>1196.0173628071138</c:v>
                </c:pt>
                <c:pt idx="29">
                  <c:v>1167.4419294546317</c:v>
                </c:pt>
                <c:pt idx="30">
                  <c:v>1135.6440271388428</c:v>
                </c:pt>
                <c:pt idx="31">
                  <c:v>1100.4796776715934</c:v>
                </c:pt>
                <c:pt idx="32">
                  <c:v>1061.7996374366999</c:v>
                </c:pt>
                <c:pt idx="33">
                  <c:v>1019.4492205054604</c:v>
                </c:pt>
                <c:pt idx="34">
                  <c:v>973.26811606719866</c:v>
                </c:pt>
                <c:pt idx="35">
                  <c:v>927.29019999672221</c:v>
                </c:pt>
                <c:pt idx="36">
                  <c:v>877.22734037508326</c:v>
                </c:pt>
                <c:pt idx="37">
                  <c:v>822.90287677436606</c:v>
                </c:pt>
                <c:pt idx="38">
                  <c:v>764.13376671138963</c:v>
                </c:pt>
                <c:pt idx="39">
                  <c:v>700.7303725412014</c:v>
                </c:pt>
                <c:pt idx="40">
                  <c:v>632.49624152447871</c:v>
                </c:pt>
                <c:pt idx="41">
                  <c:v>559.22787885539685</c:v>
                </c:pt>
                <c:pt idx="42">
                  <c:v>480.71451342994794</c:v>
                </c:pt>
                <c:pt idx="43">
                  <c:v>396.73785612791499</c:v>
                </c:pt>
                <c:pt idx="44">
                  <c:v>267.00228777478054</c:v>
                </c:pt>
                <c:pt idx="45">
                  <c:v>130.54189829031262</c:v>
                </c:pt>
                <c:pt idx="46">
                  <c:v>-12.901712041043595</c:v>
                </c:pt>
                <c:pt idx="47">
                  <c:v>-163.59582802794176</c:v>
                </c:pt>
                <c:pt idx="48">
                  <c:v>-321.81690878696025</c:v>
                </c:pt>
                <c:pt idx="49">
                  <c:v>-487.85088608711294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AC-48A5-B7F7-8478CDBF2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869439"/>
        <c:axId val="409451887"/>
      </c:lineChart>
      <c:catAx>
        <c:axId val="64986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451887"/>
        <c:crosses val="autoZero"/>
        <c:auto val="1"/>
        <c:lblAlgn val="ctr"/>
        <c:lblOffset val="100"/>
        <c:noMultiLvlLbl val="0"/>
      </c:catAx>
      <c:valAx>
        <c:axId val="409451887"/>
        <c:scaling>
          <c:orientation val="minMax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9869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壓力_勞退勞保降低!$U$1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壓力_勞退勞保降低!$E$4:$E$53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壓力_勞退勞保降低!$U$4:$U$53</c:f>
              <c:numCache>
                <c:formatCode>0</c:formatCode>
                <c:ptCount val="50"/>
                <c:pt idx="0">
                  <c:v>147.22</c:v>
                </c:pt>
                <c:pt idx="1">
                  <c:v>149.575456</c:v>
                </c:pt>
                <c:pt idx="2">
                  <c:v>152.00180336</c:v>
                </c:pt>
                <c:pt idx="3">
                  <c:v>154.49348635679999</c:v>
                </c:pt>
                <c:pt idx="4">
                  <c:v>156.19477263431997</c:v>
                </c:pt>
                <c:pt idx="5">
                  <c:v>158.61127538706</c:v>
                </c:pt>
                <c:pt idx="6">
                  <c:v>161.27911438300728</c:v>
                </c:pt>
                <c:pt idx="7">
                  <c:v>163.3305714751173</c:v>
                </c:pt>
                <c:pt idx="8">
                  <c:v>164.45630325948798</c:v>
                </c:pt>
                <c:pt idx="9">
                  <c:v>167.69608912093366</c:v>
                </c:pt>
                <c:pt idx="10">
                  <c:v>170.55301413516801</c:v>
                </c:pt>
                <c:pt idx="11">
                  <c:v>173.47956841027568</c:v>
                </c:pt>
                <c:pt idx="12">
                  <c:v>175.56974190014506</c:v>
                </c:pt>
                <c:pt idx="13">
                  <c:v>179.93268761095072</c:v>
                </c:pt>
                <c:pt idx="14">
                  <c:v>184.46489828732902</c:v>
                </c:pt>
                <c:pt idx="15">
                  <c:v>189.16910387080998</c:v>
                </c:pt>
                <c:pt idx="16">
                  <c:v>195.59214173144491</c:v>
                </c:pt>
                <c:pt idx="17">
                  <c:v>202.26272092000391</c:v>
                </c:pt>
                <c:pt idx="18">
                  <c:v>209.17125495051448</c:v>
                </c:pt>
                <c:pt idx="19">
                  <c:v>216.3462672073239</c:v>
                </c:pt>
                <c:pt idx="20">
                  <c:v>219.63770637165837</c:v>
                </c:pt>
                <c:pt idx="21">
                  <c:v>228.59536029195235</c:v>
                </c:pt>
                <c:pt idx="22">
                  <c:v>237.90879519006771</c:v>
                </c:pt>
                <c:pt idx="23">
                  <c:v>247.59232828061451</c:v>
                </c:pt>
                <c:pt idx="24">
                  <c:v>359.99391222120096</c:v>
                </c:pt>
                <c:pt idx="25">
                  <c:v>112.89883019511258</c:v>
                </c:pt>
                <c:pt idx="26">
                  <c:v>113.74518047778045</c:v>
                </c:pt>
                <c:pt idx="27">
                  <c:v>114.58190523967697</c:v>
                </c:pt>
                <c:pt idx="28">
                  <c:v>115.40828091985827</c:v>
                </c:pt>
                <c:pt idx="29">
                  <c:v>116.22355886515092</c:v>
                </c:pt>
                <c:pt idx="30">
                  <c:v>117.02696461588735</c:v>
                </c:pt>
                <c:pt idx="31">
                  <c:v>117.81769717310718</c:v>
                </c:pt>
                <c:pt idx="32">
                  <c:v>118.59492824676943</c:v>
                </c:pt>
                <c:pt idx="33">
                  <c:v>119.35780148450893</c:v>
                </c:pt>
                <c:pt idx="34">
                  <c:v>120.1054316804593</c:v>
                </c:pt>
                <c:pt idx="35">
                  <c:v>120.8369039636539</c:v>
                </c:pt>
                <c:pt idx="36">
                  <c:v>121.63527296550407</c:v>
                </c:pt>
                <c:pt idx="37">
                  <c:v>122.41724196584282</c:v>
                </c:pt>
                <c:pt idx="38">
                  <c:v>123.1818356170089</c:v>
                </c:pt>
                <c:pt idx="39">
                  <c:v>123.9280461174353</c:v>
                </c:pt>
                <c:pt idx="40">
                  <c:v>124.65483230363192</c:v>
                </c:pt>
                <c:pt idx="41">
                  <c:v>125.36111871882946</c:v>
                </c:pt>
                <c:pt idx="42">
                  <c:v>126.04579465771344</c:v>
                </c:pt>
                <c:pt idx="43">
                  <c:v>126.70771318666525</c:v>
                </c:pt>
                <c:pt idx="44">
                  <c:v>99.870783653468891</c:v>
                </c:pt>
                <c:pt idx="45">
                  <c:v>99.934098468822029</c:v>
                </c:pt>
                <c:pt idx="46">
                  <c:v>99.959997563327903</c:v>
                </c:pt>
                <c:pt idx="47">
                  <c:v>99.946958982226505</c:v>
                </c:pt>
                <c:pt idx="48">
                  <c:v>99.893414858855692</c:v>
                </c:pt>
                <c:pt idx="49">
                  <c:v>99.79775018695716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95-43E0-9E1D-5AC121771295}"/>
            </c:ext>
          </c:extLst>
        </c:ser>
        <c:ser>
          <c:idx val="1"/>
          <c:order val="1"/>
          <c:tx>
            <c:strRef>
              <c:f>壓力_勞退勞保降低!$AL$1</c:f>
              <c:strCache>
                <c:ptCount val="1"/>
                <c:pt idx="0">
                  <c:v>支出
合計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壓力_勞退勞保降低!$E$4:$E$53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壓力_勞退勞保降低!$AL$4:$AL$53</c:f>
              <c:numCache>
                <c:formatCode>0</c:formatCode>
                <c:ptCount val="50"/>
                <c:pt idx="0">
                  <c:v>139.6336</c:v>
                </c:pt>
                <c:pt idx="1">
                  <c:v>141.03067200000001</c:v>
                </c:pt>
                <c:pt idx="2">
                  <c:v>142.65168543999999</c:v>
                </c:pt>
                <c:pt idx="3">
                  <c:v>165.74576234879999</c:v>
                </c:pt>
                <c:pt idx="4">
                  <c:v>147.29969581273599</c:v>
                </c:pt>
                <c:pt idx="5">
                  <c:v>150.55311776887038</c:v>
                </c:pt>
                <c:pt idx="6">
                  <c:v>166.39375667015855</c:v>
                </c:pt>
                <c:pt idx="7">
                  <c:v>192.49121942360705</c:v>
                </c:pt>
                <c:pt idx="8">
                  <c:v>141.68427822407523</c:v>
                </c:pt>
                <c:pt idx="9">
                  <c:v>155.43036378855672</c:v>
                </c:pt>
                <c:pt idx="10">
                  <c:v>212.45721494208721</c:v>
                </c:pt>
                <c:pt idx="11">
                  <c:v>127.34220942891078</c:v>
                </c:pt>
                <c:pt idx="12">
                  <c:v>128.55745361748902</c:v>
                </c:pt>
                <c:pt idx="13">
                  <c:v>129.6910026898388</c:v>
                </c:pt>
                <c:pt idx="14">
                  <c:v>130.94322274363557</c:v>
                </c:pt>
                <c:pt idx="15">
                  <c:v>93.714487198508294</c:v>
                </c:pt>
                <c:pt idx="16">
                  <c:v>95.005176942478442</c:v>
                </c:pt>
                <c:pt idx="17">
                  <c:v>96.801731450160034</c:v>
                </c:pt>
                <c:pt idx="18">
                  <c:v>98.142166079163218</c:v>
                </c:pt>
                <c:pt idx="19">
                  <c:v>203.51972711923128</c:v>
                </c:pt>
                <c:pt idx="20">
                  <c:v>66.288746256594294</c:v>
                </c:pt>
                <c:pt idx="21">
                  <c:v>67.504921181726189</c:v>
                </c:pt>
                <c:pt idx="22">
                  <c:v>68.739419605360709</c:v>
                </c:pt>
                <c:pt idx="23">
                  <c:v>70.226334127771921</c:v>
                </c:pt>
                <c:pt idx="24">
                  <c:v>122.32363160146052</c:v>
                </c:pt>
                <c:pt idx="25">
                  <c:v>124.68610423348973</c:v>
                </c:pt>
                <c:pt idx="26">
                  <c:v>127.09582631815952</c:v>
                </c:pt>
                <c:pt idx="27">
                  <c:v>129.5537428445227</c:v>
                </c:pt>
                <c:pt idx="28">
                  <c:v>132.06081770141316</c:v>
                </c:pt>
                <c:pt idx="29">
                  <c:v>134.61803405544143</c:v>
                </c:pt>
                <c:pt idx="30">
                  <c:v>137.22639473655025</c:v>
                </c:pt>
                <c:pt idx="31">
                  <c:v>139.88692263128127</c:v>
                </c:pt>
                <c:pt idx="32">
                  <c:v>142.60066108390689</c:v>
                </c:pt>
                <c:pt idx="33">
                  <c:v>145.36867430558502</c:v>
                </c:pt>
                <c:pt idx="34">
                  <c:v>148.19204779169672</c:v>
                </c:pt>
                <c:pt idx="35">
                  <c:v>146.87188874753068</c:v>
                </c:pt>
                <c:pt idx="36">
                  <c:v>149.80932652248129</c:v>
                </c:pt>
                <c:pt idx="37">
                  <c:v>152.80551305293091</c:v>
                </c:pt>
                <c:pt idx="38">
                  <c:v>155.86162331398953</c:v>
                </c:pt>
                <c:pt idx="39">
                  <c:v>158.97885578026933</c:v>
                </c:pt>
                <c:pt idx="40">
                  <c:v>162.15843289587471</c:v>
                </c:pt>
                <c:pt idx="41">
                  <c:v>165.4016015537922</c:v>
                </c:pt>
                <c:pt idx="42">
                  <c:v>168.70963358486804</c:v>
                </c:pt>
                <c:pt idx="43">
                  <c:v>172.0838262565654</c:v>
                </c:pt>
                <c:pt idx="44">
                  <c:v>175.5255027816967</c:v>
                </c:pt>
                <c:pt idx="45">
                  <c:v>179.03601283733065</c:v>
                </c:pt>
                <c:pt idx="46">
                  <c:v>182.61673309407726</c:v>
                </c:pt>
                <c:pt idx="47">
                  <c:v>186.26906775595882</c:v>
                </c:pt>
                <c:pt idx="48">
                  <c:v>189.99444911107798</c:v>
                </c:pt>
                <c:pt idx="49">
                  <c:v>193.79433809329956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5-43E0-9E1D-5AC121771295}"/>
            </c:ext>
          </c:extLst>
        </c:ser>
        <c:ser>
          <c:idx val="2"/>
          <c:order val="2"/>
          <c:tx>
            <c:strRef>
              <c:f>壓力_勞退勞保降低!$AN$1</c:f>
              <c:strCache>
                <c:ptCount val="1"/>
                <c:pt idx="0">
                  <c:v>期末
生息資產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壓力_勞退勞保降低!$E$4:$E$53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壓力_勞退勞保降低!$AN$4:$AN$53</c:f>
              <c:numCache>
                <c:formatCode>0</c:formatCode>
                <c:ptCount val="50"/>
                <c:pt idx="0">
                  <c:v>62.586399999999998</c:v>
                </c:pt>
                <c:pt idx="1">
                  <c:v>71.13118399999999</c:v>
                </c:pt>
                <c:pt idx="2">
                  <c:v>80.481301919999993</c:v>
                </c:pt>
                <c:pt idx="3">
                  <c:v>69.229025927999999</c:v>
                </c:pt>
                <c:pt idx="4">
                  <c:v>78.124102749583983</c:v>
                </c:pt>
                <c:pt idx="5">
                  <c:v>86.182260367773608</c:v>
                </c:pt>
                <c:pt idx="6">
                  <c:v>81.067618080622339</c:v>
                </c:pt>
                <c:pt idx="7">
                  <c:v>51.906970132132585</c:v>
                </c:pt>
                <c:pt idx="8">
                  <c:v>74.678995167545338</c:v>
                </c:pt>
                <c:pt idx="9">
                  <c:v>86.944720499922283</c:v>
                </c:pt>
                <c:pt idx="10">
                  <c:v>45.040519693003091</c:v>
                </c:pt>
                <c:pt idx="11">
                  <c:v>91.177878674367989</c:v>
                </c:pt>
                <c:pt idx="12">
                  <c:v>138.19016695702402</c:v>
                </c:pt>
                <c:pt idx="13">
                  <c:v>188.43185187813594</c:v>
                </c:pt>
                <c:pt idx="14">
                  <c:v>241.95352742182939</c:v>
                </c:pt>
                <c:pt idx="15">
                  <c:v>337.4081440941311</c:v>
                </c:pt>
                <c:pt idx="16">
                  <c:v>437.9951088830976</c:v>
                </c:pt>
                <c:pt idx="17">
                  <c:v>543.45609835294147</c:v>
                </c:pt>
                <c:pt idx="18">
                  <c:v>654.48518722429276</c:v>
                </c:pt>
                <c:pt idx="19">
                  <c:v>667.31172731238541</c:v>
                </c:pt>
                <c:pt idx="20">
                  <c:v>820.66068742744949</c:v>
                </c:pt>
                <c:pt idx="21">
                  <c:v>981.75112653767565</c:v>
                </c:pt>
                <c:pt idx="22">
                  <c:v>1150.9205021223827</c:v>
                </c:pt>
                <c:pt idx="23">
                  <c:v>1328.2864962752253</c:v>
                </c:pt>
                <c:pt idx="24">
                  <c:v>1565.9567768949657</c:v>
                </c:pt>
                <c:pt idx="25">
                  <c:v>1554.1695028565887</c:v>
                </c:pt>
                <c:pt idx="26">
                  <c:v>1540.8188570162097</c:v>
                </c:pt>
                <c:pt idx="27">
                  <c:v>1525.847019411364</c:v>
                </c:pt>
                <c:pt idx="28">
                  <c:v>1509.194482629809</c:v>
                </c:pt>
                <c:pt idx="29">
                  <c:v>1490.8000074395186</c:v>
                </c:pt>
                <c:pt idx="30">
                  <c:v>1470.6005773188558</c:v>
                </c:pt>
                <c:pt idx="31">
                  <c:v>1448.5313518606818</c:v>
                </c:pt>
                <c:pt idx="32">
                  <c:v>1424.5256190235443</c:v>
                </c:pt>
                <c:pt idx="33">
                  <c:v>1398.5147462024681</c:v>
                </c:pt>
                <c:pt idx="34">
                  <c:v>1370.4281300912307</c:v>
                </c:pt>
                <c:pt idx="35">
                  <c:v>1344.393145307354</c:v>
                </c:pt>
                <c:pt idx="36">
                  <c:v>1316.2190917503767</c:v>
                </c:pt>
                <c:pt idx="37">
                  <c:v>1285.8308206632887</c:v>
                </c:pt>
                <c:pt idx="38">
                  <c:v>1253.1510329663081</c:v>
                </c:pt>
                <c:pt idx="39">
                  <c:v>1218.100223303474</c:v>
                </c:pt>
                <c:pt idx="40">
                  <c:v>1180.5966227112312</c:v>
                </c:pt>
                <c:pt idx="41">
                  <c:v>1140.5561398762684</c:v>
                </c:pt>
                <c:pt idx="42">
                  <c:v>1097.8923009491139</c:v>
                </c:pt>
                <c:pt idx="43">
                  <c:v>1052.5161878792137</c:v>
                </c:pt>
                <c:pt idx="44">
                  <c:v>976.86146875098586</c:v>
                </c:pt>
                <c:pt idx="45">
                  <c:v>897.75955438247729</c:v>
                </c:pt>
                <c:pt idx="46">
                  <c:v>815.10281885172799</c:v>
                </c:pt>
                <c:pt idx="47">
                  <c:v>728.78071007799565</c:v>
                </c:pt>
                <c:pt idx="48">
                  <c:v>638.6796758257733</c:v>
                </c:pt>
                <c:pt idx="49">
                  <c:v>544.68308791943093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95-43E0-9E1D-5AC12177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869439"/>
        <c:axId val="409451887"/>
      </c:lineChart>
      <c:catAx>
        <c:axId val="64986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451887"/>
        <c:crosses val="autoZero"/>
        <c:auto val="1"/>
        <c:lblAlgn val="ctr"/>
        <c:lblOffset val="100"/>
        <c:noMultiLvlLbl val="0"/>
      </c:catAx>
      <c:valAx>
        <c:axId val="40945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9869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壓力_保險金詐騙!$U$1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壓力_保險金詐騙!$E$4:$E$53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壓力_保險金詐騙!$U$4:$U$53</c:f>
              <c:numCache>
                <c:formatCode>0</c:formatCode>
                <c:ptCount val="50"/>
                <c:pt idx="0">
                  <c:v>147.22</c:v>
                </c:pt>
                <c:pt idx="1">
                  <c:v>149.575456</c:v>
                </c:pt>
                <c:pt idx="2">
                  <c:v>152.00180336</c:v>
                </c:pt>
                <c:pt idx="3">
                  <c:v>154.49348635679999</c:v>
                </c:pt>
                <c:pt idx="4">
                  <c:v>156.19477263431997</c:v>
                </c:pt>
                <c:pt idx="5">
                  <c:v>158.61127538706</c:v>
                </c:pt>
                <c:pt idx="6">
                  <c:v>161.29448747876694</c:v>
                </c:pt>
                <c:pt idx="7">
                  <c:v>163.36224005238219</c:v>
                </c:pt>
                <c:pt idx="8">
                  <c:v>164.50523274867183</c:v>
                </c:pt>
                <c:pt idx="9">
                  <c:v>167.76328984188982</c:v>
                </c:pt>
                <c:pt idx="10">
                  <c:v>170.63954321821143</c:v>
                </c:pt>
                <c:pt idx="11">
                  <c:v>173.47956841027568</c:v>
                </c:pt>
                <c:pt idx="12">
                  <c:v>175.69401788913649</c:v>
                </c:pt>
                <c:pt idx="13">
                  <c:v>180.07959349426835</c:v>
                </c:pt>
                <c:pt idx="14">
                  <c:v>184.63569243784119</c:v>
                </c:pt>
                <c:pt idx="15">
                  <c:v>189.36510205984177</c:v>
                </c:pt>
                <c:pt idx="16">
                  <c:v>195.81471956598705</c:v>
                </c:pt>
                <c:pt idx="17">
                  <c:v>202.51331638023578</c:v>
                </c:pt>
                <c:pt idx="18">
                  <c:v>209.45137103170981</c:v>
                </c:pt>
                <c:pt idx="19">
                  <c:v>216.65747467037238</c:v>
                </c:pt>
                <c:pt idx="20">
                  <c:v>219.9816466066062</c:v>
                </c:pt>
                <c:pt idx="21">
                  <c:v>228.97374829914304</c:v>
                </c:pt>
                <c:pt idx="22">
                  <c:v>238.32342268364789</c:v>
                </c:pt>
                <c:pt idx="23">
                  <c:v>248.0450669193618</c:v>
                </c:pt>
                <c:pt idx="24">
                  <c:v>139.14312487308652</c:v>
                </c:pt>
                <c:pt idx="25">
                  <c:v>140.92474333796551</c:v>
                </c:pt>
                <c:pt idx="26">
                  <c:v>142.72364929149043</c:v>
                </c:pt>
                <c:pt idx="27">
                  <c:v>144.53982158582116</c:v>
                </c:pt>
                <c:pt idx="28">
                  <c:v>146.3732313122085</c:v>
                </c:pt>
                <c:pt idx="29">
                  <c:v>148.22384149901703</c:v>
                </c:pt>
                <c:pt idx="30">
                  <c:v>150.09160680077301</c:v>
                </c:pt>
                <c:pt idx="31">
                  <c:v>151.97647317799962</c:v>
                </c:pt>
                <c:pt idx="32">
                  <c:v>153.87837756759498</c:v>
                </c:pt>
                <c:pt idx="33">
                  <c:v>155.797247543503</c:v>
                </c:pt>
                <c:pt idx="34">
                  <c:v>157.73300096742025</c:v>
                </c:pt>
                <c:pt idx="35">
                  <c:v>159.68554562927682</c:v>
                </c:pt>
                <c:pt idx="36">
                  <c:v>161.73877887722068</c:v>
                </c:pt>
                <c:pt idx="37">
                  <c:v>163.81026723683058</c:v>
                </c:pt>
                <c:pt idx="38">
                  <c:v>165.89991961927399</c:v>
                </c:pt>
                <c:pt idx="39">
                  <c:v>168.00763399012041</c:v>
                </c:pt>
                <c:pt idx="40">
                  <c:v>170.13329696795296</c:v>
                </c:pt>
                <c:pt idx="41">
                  <c:v>172.27678341130274</c:v>
                </c:pt>
                <c:pt idx="42">
                  <c:v>174.43795599359939</c:v>
                </c:pt>
                <c:pt idx="43">
                  <c:v>176.61666476582334</c:v>
                </c:pt>
                <c:pt idx="44">
                  <c:v>138.74318410659529</c:v>
                </c:pt>
                <c:pt idx="45">
                  <c:v>140.1550714070342</c:v>
                </c:pt>
                <c:pt idx="46">
                  <c:v>141.56793692584802</c:v>
                </c:pt>
                <c:pt idx="47">
                  <c:v>142.98125503685159</c:v>
                </c:pt>
                <c:pt idx="48">
                  <c:v>144.39447869752496</c:v>
                </c:pt>
                <c:pt idx="49">
                  <c:v>145.80703880261052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6-42F5-9DE3-BB274DDE8515}"/>
            </c:ext>
          </c:extLst>
        </c:ser>
        <c:ser>
          <c:idx val="1"/>
          <c:order val="1"/>
          <c:tx>
            <c:strRef>
              <c:f>壓力_保險金詐騙!$AL$1</c:f>
              <c:strCache>
                <c:ptCount val="1"/>
                <c:pt idx="0">
                  <c:v>支出
合計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壓力_保險金詐騙!$E$4:$E$53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壓力_保險金詐騙!$AL$4:$AL$53</c:f>
              <c:numCache>
                <c:formatCode>0</c:formatCode>
                <c:ptCount val="50"/>
                <c:pt idx="0">
                  <c:v>139.6336</c:v>
                </c:pt>
                <c:pt idx="1">
                  <c:v>141.03067200000001</c:v>
                </c:pt>
                <c:pt idx="2">
                  <c:v>142.65168543999999</c:v>
                </c:pt>
                <c:pt idx="3">
                  <c:v>165.74576234879999</c:v>
                </c:pt>
                <c:pt idx="4">
                  <c:v>147.29969581273599</c:v>
                </c:pt>
                <c:pt idx="5">
                  <c:v>150.16879037487871</c:v>
                </c:pt>
                <c:pt idx="6">
                  <c:v>166.00174272828704</c:v>
                </c:pt>
                <c:pt idx="7">
                  <c:v>192.09136520289812</c:v>
                </c:pt>
                <c:pt idx="8">
                  <c:v>141.2764269189521</c:v>
                </c:pt>
                <c:pt idx="9">
                  <c:v>155.01435545733113</c:v>
                </c:pt>
                <c:pt idx="10">
                  <c:v>212.03288644423714</c:v>
                </c:pt>
                <c:pt idx="11">
                  <c:v>126.90939436110368</c:v>
                </c:pt>
                <c:pt idx="12">
                  <c:v>128.11598224832576</c:v>
                </c:pt>
                <c:pt idx="13">
                  <c:v>129.24070189329228</c:v>
                </c:pt>
                <c:pt idx="14">
                  <c:v>130.48391593115812</c:v>
                </c:pt>
                <c:pt idx="15">
                  <c:v>93.245994249781305</c:v>
                </c:pt>
                <c:pt idx="16">
                  <c:v>94.52731413477693</c:v>
                </c:pt>
                <c:pt idx="17">
                  <c:v>96.314311386304482</c:v>
                </c:pt>
                <c:pt idx="18">
                  <c:v>97.644997614030558</c:v>
                </c:pt>
                <c:pt idx="19">
                  <c:v>203.01261528479597</c:v>
                </c:pt>
                <c:pt idx="20">
                  <c:v>65.771492185470265</c:v>
                </c:pt>
                <c:pt idx="21">
                  <c:v>66.977322029179689</c:v>
                </c:pt>
                <c:pt idx="22">
                  <c:v>68.201268469763278</c:v>
                </c:pt>
                <c:pt idx="23">
                  <c:v>69.677419969462534</c:v>
                </c:pt>
                <c:pt idx="24">
                  <c:v>122.32363160146052</c:v>
                </c:pt>
                <c:pt idx="25">
                  <c:v>124.68610423348973</c:v>
                </c:pt>
                <c:pt idx="26">
                  <c:v>127.09582631815952</c:v>
                </c:pt>
                <c:pt idx="27">
                  <c:v>129.5537428445227</c:v>
                </c:pt>
                <c:pt idx="28">
                  <c:v>132.06081770141316</c:v>
                </c:pt>
                <c:pt idx="29">
                  <c:v>134.61803405544143</c:v>
                </c:pt>
                <c:pt idx="30">
                  <c:v>137.22639473655025</c:v>
                </c:pt>
                <c:pt idx="31">
                  <c:v>139.88692263128127</c:v>
                </c:pt>
                <c:pt idx="32">
                  <c:v>142.60066108390689</c:v>
                </c:pt>
                <c:pt idx="33">
                  <c:v>145.36867430558502</c:v>
                </c:pt>
                <c:pt idx="34">
                  <c:v>148.19204779169672</c:v>
                </c:pt>
                <c:pt idx="35">
                  <c:v>146.87188874753068</c:v>
                </c:pt>
                <c:pt idx="36">
                  <c:v>149.80932652248129</c:v>
                </c:pt>
                <c:pt idx="37">
                  <c:v>152.80551305293091</c:v>
                </c:pt>
                <c:pt idx="38">
                  <c:v>155.86162331398953</c:v>
                </c:pt>
                <c:pt idx="39">
                  <c:v>158.97885578026933</c:v>
                </c:pt>
                <c:pt idx="40">
                  <c:v>162.15843289587471</c:v>
                </c:pt>
                <c:pt idx="41">
                  <c:v>165.4016015537922</c:v>
                </c:pt>
                <c:pt idx="42">
                  <c:v>168.70963358486804</c:v>
                </c:pt>
                <c:pt idx="43">
                  <c:v>172.0838262565654</c:v>
                </c:pt>
                <c:pt idx="44">
                  <c:v>175.5255027816967</c:v>
                </c:pt>
                <c:pt idx="45">
                  <c:v>179.03601283733065</c:v>
                </c:pt>
                <c:pt idx="46">
                  <c:v>182.61673309407726</c:v>
                </c:pt>
                <c:pt idx="47">
                  <c:v>186.26906775595882</c:v>
                </c:pt>
                <c:pt idx="48">
                  <c:v>189.99444911107798</c:v>
                </c:pt>
                <c:pt idx="49">
                  <c:v>193.79433809329956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6-42F5-9DE3-BB274DDE8515}"/>
            </c:ext>
          </c:extLst>
        </c:ser>
        <c:ser>
          <c:idx val="2"/>
          <c:order val="2"/>
          <c:tx>
            <c:strRef>
              <c:f>壓力_保險金詐騙!$AN$1</c:f>
              <c:strCache>
                <c:ptCount val="1"/>
                <c:pt idx="0">
                  <c:v>期末
生息資產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壓力_保險金詐騙!$E$4:$E$53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壓力_保險金詐騙!$AN$4:$AN$53</c:f>
              <c:numCache>
                <c:formatCode>0</c:formatCode>
                <c:ptCount val="50"/>
                <c:pt idx="0">
                  <c:v>62.586399999999998</c:v>
                </c:pt>
                <c:pt idx="1">
                  <c:v>71.13118399999999</c:v>
                </c:pt>
                <c:pt idx="2">
                  <c:v>80.481301919999993</c:v>
                </c:pt>
                <c:pt idx="3">
                  <c:v>69.229025927999999</c:v>
                </c:pt>
                <c:pt idx="4">
                  <c:v>78.124102749583983</c:v>
                </c:pt>
                <c:pt idx="5">
                  <c:v>86.566587761765277</c:v>
                </c:pt>
                <c:pt idx="6">
                  <c:v>81.859332512245174</c:v>
                </c:pt>
                <c:pt idx="7">
                  <c:v>53.130207361729248</c:v>
                </c:pt>
                <c:pt idx="8">
                  <c:v>76.35901319144898</c:v>
                </c:pt>
                <c:pt idx="9">
                  <c:v>89.10794757600766</c:v>
                </c:pt>
                <c:pt idx="10">
                  <c:v>47.714604349981954</c:v>
                </c:pt>
                <c:pt idx="11">
                  <c:v>94.28477839915395</c:v>
                </c:pt>
                <c:pt idx="12">
                  <c:v>141.86281403996469</c:v>
                </c:pt>
                <c:pt idx="13">
                  <c:v>192.70170564094076</c:v>
                </c:pt>
                <c:pt idx="14">
                  <c:v>246.85348214762382</c:v>
                </c:pt>
                <c:pt idx="15">
                  <c:v>342.97258995768431</c:v>
                </c:pt>
                <c:pt idx="16">
                  <c:v>444.25999538889442</c:v>
                </c:pt>
                <c:pt idx="17">
                  <c:v>550.45900038282571</c:v>
                </c:pt>
                <c:pt idx="18">
                  <c:v>662.2653738005049</c:v>
                </c:pt>
                <c:pt idx="19">
                  <c:v>675.91023318608131</c:v>
                </c:pt>
                <c:pt idx="20">
                  <c:v>830.12038760721725</c:v>
                </c:pt>
                <c:pt idx="21">
                  <c:v>992.11681387718068</c:v>
                </c:pt>
                <c:pt idx="22">
                  <c:v>1162.2389680910653</c:v>
                </c:pt>
                <c:pt idx="23">
                  <c:v>1340.6066150409647</c:v>
                </c:pt>
                <c:pt idx="24">
                  <c:v>1357.4261083125907</c:v>
                </c:pt>
                <c:pt idx="25">
                  <c:v>1373.6647474170666</c:v>
                </c:pt>
                <c:pt idx="26">
                  <c:v>1389.2925703903975</c:v>
                </c:pt>
                <c:pt idx="27">
                  <c:v>1404.2786491316961</c:v>
                </c:pt>
                <c:pt idx="28">
                  <c:v>1418.5910627424914</c:v>
                </c:pt>
                <c:pt idx="29">
                  <c:v>1432.1968701860669</c:v>
                </c:pt>
                <c:pt idx="30">
                  <c:v>1445.0620822502897</c:v>
                </c:pt>
                <c:pt idx="31">
                  <c:v>1457.151632797008</c:v>
                </c:pt>
                <c:pt idx="32">
                  <c:v>1468.429349280696</c:v>
                </c:pt>
                <c:pt idx="33">
                  <c:v>1478.857922518614</c:v>
                </c:pt>
                <c:pt idx="34">
                  <c:v>1488.3988756943377</c:v>
                </c:pt>
                <c:pt idx="35">
                  <c:v>1501.2125325760837</c:v>
                </c:pt>
                <c:pt idx="36">
                  <c:v>1513.1419849308231</c:v>
                </c:pt>
                <c:pt idx="37">
                  <c:v>1524.1467391147228</c:v>
                </c:pt>
                <c:pt idx="38">
                  <c:v>1534.1850354200074</c:v>
                </c:pt>
                <c:pt idx="39">
                  <c:v>1543.2138136298584</c:v>
                </c:pt>
                <c:pt idx="40">
                  <c:v>1551.1886777019365</c:v>
                </c:pt>
                <c:pt idx="41">
                  <c:v>1558.0638595594471</c:v>
                </c:pt>
                <c:pt idx="42">
                  <c:v>1563.7921819681785</c:v>
                </c:pt>
                <c:pt idx="43">
                  <c:v>1568.3250204774365</c:v>
                </c:pt>
                <c:pt idx="44">
                  <c:v>1531.5427018023352</c:v>
                </c:pt>
                <c:pt idx="45">
                  <c:v>1492.6617603720388</c:v>
                </c:pt>
                <c:pt idx="46">
                  <c:v>1451.6129642038095</c:v>
                </c:pt>
                <c:pt idx="47">
                  <c:v>1408.3251514847022</c:v>
                </c:pt>
                <c:pt idx="48">
                  <c:v>1362.7251810711491</c:v>
                </c:pt>
                <c:pt idx="49">
                  <c:v>1314.7378817804602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F6-42F5-9DE3-BB274DDE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869439"/>
        <c:axId val="409451887"/>
      </c:lineChart>
      <c:catAx>
        <c:axId val="64986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451887"/>
        <c:crosses val="autoZero"/>
        <c:auto val="1"/>
        <c:lblAlgn val="ctr"/>
        <c:lblOffset val="100"/>
        <c:noMultiLvlLbl val="0"/>
      </c:catAx>
      <c:valAx>
        <c:axId val="40945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9869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壓力_女兒啃老!$U$1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壓力_女兒啃老!$E$4:$E$53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壓力_女兒啃老!$U$4:$U$53</c:f>
              <c:numCache>
                <c:formatCode>0</c:formatCode>
                <c:ptCount val="50"/>
                <c:pt idx="0">
                  <c:v>147.22</c:v>
                </c:pt>
                <c:pt idx="1">
                  <c:v>149.575456</c:v>
                </c:pt>
                <c:pt idx="2">
                  <c:v>152.00180336</c:v>
                </c:pt>
                <c:pt idx="3">
                  <c:v>154.49348635679999</c:v>
                </c:pt>
                <c:pt idx="4">
                  <c:v>156.19477263431997</c:v>
                </c:pt>
                <c:pt idx="5">
                  <c:v>158.61127538706</c:v>
                </c:pt>
                <c:pt idx="6">
                  <c:v>161.29448747876694</c:v>
                </c:pt>
                <c:pt idx="7">
                  <c:v>163.36224005238219</c:v>
                </c:pt>
                <c:pt idx="8">
                  <c:v>164.50523274867183</c:v>
                </c:pt>
                <c:pt idx="9">
                  <c:v>167.76328984188982</c:v>
                </c:pt>
                <c:pt idx="10">
                  <c:v>170.63954321821143</c:v>
                </c:pt>
                <c:pt idx="11">
                  <c:v>173.47956841027568</c:v>
                </c:pt>
                <c:pt idx="12">
                  <c:v>173.75481788913649</c:v>
                </c:pt>
                <c:pt idx="13">
                  <c:v>177.06404149426834</c:v>
                </c:pt>
                <c:pt idx="14">
                  <c:v>180.48075867784121</c:v>
                </c:pt>
                <c:pt idx="15">
                  <c:v>184.00483607584181</c:v>
                </c:pt>
                <c:pt idx="16">
                  <c:v>189.18012537155505</c:v>
                </c:pt>
                <c:pt idx="17">
                  <c:v>194.53222249553306</c:v>
                </c:pt>
                <c:pt idx="18">
                  <c:v>200.0482951506757</c:v>
                </c:pt>
                <c:pt idx="19">
                  <c:v>205.7534827483347</c:v>
                </c:pt>
                <c:pt idx="20">
                  <c:v>207.4942061418096</c:v>
                </c:pt>
                <c:pt idx="21">
                  <c:v>214.8165755725596</c:v>
                </c:pt>
                <c:pt idx="22">
                  <c:v>222.40632371194226</c:v>
                </c:pt>
                <c:pt idx="23">
                  <c:v>230.27377186600791</c:v>
                </c:pt>
                <c:pt idx="24">
                  <c:v>382.19048610065431</c:v>
                </c:pt>
                <c:pt idx="25">
                  <c:v>135.29033614588482</c:v>
                </c:pt>
                <c:pt idx="26">
                  <c:v>136.33053715317254</c:v>
                </c:pt>
                <c:pt idx="27">
                  <c:v>137.35991006629342</c:v>
                </c:pt>
                <c:pt idx="28">
                  <c:v>138.37760568107785</c:v>
                </c:pt>
                <c:pt idx="29">
                  <c:v>139.38274515642718</c:v>
                </c:pt>
                <c:pt idx="30">
                  <c:v>140.37441916851802</c:v>
                </c:pt>
                <c:pt idx="31">
                  <c:v>141.35168704302993</c:v>
                </c:pt>
                <c:pt idx="32">
                  <c:v>142.3135758648549</c:v>
                </c:pt>
                <c:pt idx="33">
                  <c:v>143.25907956473566</c:v>
                </c:pt>
                <c:pt idx="34">
                  <c:v>144.18715798226572</c:v>
                </c:pt>
                <c:pt idx="35">
                  <c:v>145.09673590467108</c:v>
                </c:pt>
                <c:pt idx="36">
                  <c:v>146.07070208077977</c:v>
                </c:pt>
                <c:pt idx="37">
                  <c:v>147.02558820957088</c:v>
                </c:pt>
                <c:pt idx="38">
                  <c:v>147.96024150268136</c:v>
                </c:pt>
                <c:pt idx="39">
                  <c:v>148.87347069223244</c:v>
                </c:pt>
                <c:pt idx="40">
                  <c:v>149.76404495276446</c:v>
                </c:pt>
                <c:pt idx="41">
                  <c:v>150.63069279544092</c:v>
                </c:pt>
                <c:pt idx="42">
                  <c:v>151.47210093384331</c:v>
                </c:pt>
                <c:pt idx="43">
                  <c:v>152.2869131206636</c:v>
                </c:pt>
                <c:pt idx="44">
                  <c:v>113.00416635463964</c:v>
                </c:pt>
                <c:pt idx="45">
                  <c:v>112.96014880466885</c:v>
                </c:pt>
                <c:pt idx="46">
                  <c:v>112.86916888615738</c:v>
                </c:pt>
                <c:pt idx="47">
                  <c:v>112.72936571138359</c:v>
                </c:pt>
                <c:pt idx="48">
                  <c:v>112.5388227420644</c:v>
                </c:pt>
                <c:pt idx="49">
                  <c:v>112.29556630768788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BD-4EA5-AFB7-16C8C947556F}"/>
            </c:ext>
          </c:extLst>
        </c:ser>
        <c:ser>
          <c:idx val="1"/>
          <c:order val="1"/>
          <c:tx>
            <c:strRef>
              <c:f>壓力_女兒啃老!$AM$1</c:f>
              <c:strCache>
                <c:ptCount val="1"/>
                <c:pt idx="0">
                  <c:v>支出
合計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壓力_女兒啃老!$E$4:$E$53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壓力_女兒啃老!$AM$4:$AM$53</c:f>
              <c:numCache>
                <c:formatCode>0</c:formatCode>
                <c:ptCount val="50"/>
                <c:pt idx="0">
                  <c:v>139.6336</c:v>
                </c:pt>
                <c:pt idx="1">
                  <c:v>141.03067200000001</c:v>
                </c:pt>
                <c:pt idx="2">
                  <c:v>142.65168543999999</c:v>
                </c:pt>
                <c:pt idx="3">
                  <c:v>165.74576234879999</c:v>
                </c:pt>
                <c:pt idx="4">
                  <c:v>147.29969581273599</c:v>
                </c:pt>
                <c:pt idx="5">
                  <c:v>150.16879037487871</c:v>
                </c:pt>
                <c:pt idx="6">
                  <c:v>166.00174272828704</c:v>
                </c:pt>
                <c:pt idx="7">
                  <c:v>192.09136520289812</c:v>
                </c:pt>
                <c:pt idx="8">
                  <c:v>141.2764269189521</c:v>
                </c:pt>
                <c:pt idx="9">
                  <c:v>155.01435545733113</c:v>
                </c:pt>
                <c:pt idx="10">
                  <c:v>236.03288644423714</c:v>
                </c:pt>
                <c:pt idx="11">
                  <c:v>151.38939436110368</c:v>
                </c:pt>
                <c:pt idx="12">
                  <c:v>153.08558224832575</c:v>
                </c:pt>
                <c:pt idx="13">
                  <c:v>154.7096938932923</c:v>
                </c:pt>
                <c:pt idx="14">
                  <c:v>156.46228777115812</c:v>
                </c:pt>
                <c:pt idx="15">
                  <c:v>119.7439335265813</c:v>
                </c:pt>
                <c:pt idx="16">
                  <c:v>121.55521219711292</c:v>
                </c:pt>
                <c:pt idx="17">
                  <c:v>123.88276740988721</c:v>
                </c:pt>
                <c:pt idx="18">
                  <c:v>125.76482275808493</c:v>
                </c:pt>
                <c:pt idx="19">
                  <c:v>231.6948369317314</c:v>
                </c:pt>
                <c:pt idx="20">
                  <c:v>95.027358265344446</c:v>
                </c:pt>
                <c:pt idx="21">
                  <c:v>96.81830543065135</c:v>
                </c:pt>
                <c:pt idx="22">
                  <c:v>98.639071539264364</c:v>
                </c:pt>
                <c:pt idx="23">
                  <c:v>100.72397910035365</c:v>
                </c:pt>
                <c:pt idx="24">
                  <c:v>153.99112191496945</c:v>
                </c:pt>
                <c:pt idx="25">
                  <c:v>156.98694435326885</c:v>
                </c:pt>
                <c:pt idx="26">
                  <c:v>160.04268324033421</c:v>
                </c:pt>
                <c:pt idx="27">
                  <c:v>163.1595369051409</c:v>
                </c:pt>
                <c:pt idx="28">
                  <c:v>166.33872764324371</c:v>
                </c:pt>
                <c:pt idx="29">
                  <c:v>169.5815021961086</c:v>
                </c:pt>
                <c:pt idx="30">
                  <c:v>172.88913224003079</c:v>
                </c:pt>
                <c:pt idx="31">
                  <c:v>176.26291488483139</c:v>
                </c:pt>
                <c:pt idx="32">
                  <c:v>179.70417318252802</c:v>
                </c:pt>
                <c:pt idx="33">
                  <c:v>183.21425664617857</c:v>
                </c:pt>
                <c:pt idx="34">
                  <c:v>186.79454177910216</c:v>
                </c:pt>
                <c:pt idx="35">
                  <c:v>186.24643261468421</c:v>
                </c:pt>
                <c:pt idx="36">
                  <c:v>189.97136126697788</c:v>
                </c:pt>
                <c:pt idx="37">
                  <c:v>193.77078849231742</c:v>
                </c:pt>
                <c:pt idx="38">
                  <c:v>197.64620426216379</c:v>
                </c:pt>
                <c:pt idx="39">
                  <c:v>201.59912834740709</c:v>
                </c:pt>
                <c:pt idx="40">
                  <c:v>205.63111091435522</c:v>
                </c:pt>
                <c:pt idx="41">
                  <c:v>209.74373313264232</c:v>
                </c:pt>
                <c:pt idx="42">
                  <c:v>213.93860779529516</c:v>
                </c:pt>
                <c:pt idx="43">
                  <c:v>218.21737995120105</c:v>
                </c:pt>
                <c:pt idx="44">
                  <c:v>222.58172755022508</c:v>
                </c:pt>
                <c:pt idx="45">
                  <c:v>227.03336210122959</c:v>
                </c:pt>
                <c:pt idx="46">
                  <c:v>231.57402934325418</c:v>
                </c:pt>
                <c:pt idx="47">
                  <c:v>236.20550993011926</c:v>
                </c:pt>
                <c:pt idx="48">
                  <c:v>240.92962012872164</c:v>
                </c:pt>
                <c:pt idx="49">
                  <c:v>245.7482125312961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D-4EA5-AFB7-16C8C947556F}"/>
            </c:ext>
          </c:extLst>
        </c:ser>
        <c:ser>
          <c:idx val="2"/>
          <c:order val="2"/>
          <c:tx>
            <c:strRef>
              <c:f>壓力_女兒啃老!$AO$1</c:f>
              <c:strCache>
                <c:ptCount val="1"/>
                <c:pt idx="0">
                  <c:v>期末
生息資產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壓力_女兒啃老!$E$4:$E$53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壓力_女兒啃老!$AO$4:$AO$53</c:f>
              <c:numCache>
                <c:formatCode>0</c:formatCode>
                <c:ptCount val="50"/>
                <c:pt idx="0">
                  <c:v>62.586399999999998</c:v>
                </c:pt>
                <c:pt idx="1">
                  <c:v>71.13118399999999</c:v>
                </c:pt>
                <c:pt idx="2">
                  <c:v>80.481301919999993</c:v>
                </c:pt>
                <c:pt idx="3">
                  <c:v>69.229025927999999</c:v>
                </c:pt>
                <c:pt idx="4">
                  <c:v>78.124102749583983</c:v>
                </c:pt>
                <c:pt idx="5">
                  <c:v>86.566587761765277</c:v>
                </c:pt>
                <c:pt idx="6">
                  <c:v>81.859332512245174</c:v>
                </c:pt>
                <c:pt idx="7">
                  <c:v>53.130207361729248</c:v>
                </c:pt>
                <c:pt idx="8">
                  <c:v>76.35901319144898</c:v>
                </c:pt>
                <c:pt idx="9">
                  <c:v>89.10794757600766</c:v>
                </c:pt>
                <c:pt idx="10">
                  <c:v>23.714604349981954</c:v>
                </c:pt>
                <c:pt idx="11">
                  <c:v>45.804778399153946</c:v>
                </c:pt>
                <c:pt idx="12">
                  <c:v>66.474014039964686</c:v>
                </c:pt>
                <c:pt idx="13">
                  <c:v>88.828361640940727</c:v>
                </c:pt>
                <c:pt idx="14">
                  <c:v>112.84683254762382</c:v>
                </c:pt>
                <c:pt idx="15">
                  <c:v>177.10773509688431</c:v>
                </c:pt>
                <c:pt idx="16">
                  <c:v>244.73264827132644</c:v>
                </c:pt>
                <c:pt idx="17">
                  <c:v>315.38210335697227</c:v>
                </c:pt>
                <c:pt idx="18">
                  <c:v>389.665575749563</c:v>
                </c:pt>
                <c:pt idx="19">
                  <c:v>363.72422156616631</c:v>
                </c:pt>
                <c:pt idx="20">
                  <c:v>476.19106944263149</c:v>
                </c:pt>
                <c:pt idx="21">
                  <c:v>594.18933958453977</c:v>
                </c:pt>
                <c:pt idx="22">
                  <c:v>717.95659175721767</c:v>
                </c:pt>
                <c:pt idx="23">
                  <c:v>847.50638452287194</c:v>
                </c:pt>
                <c:pt idx="24">
                  <c:v>1075.7057487085567</c:v>
                </c:pt>
                <c:pt idx="25">
                  <c:v>1054.0091405011726</c:v>
                </c:pt>
                <c:pt idx="26">
                  <c:v>1030.2969944140109</c:v>
                </c:pt>
                <c:pt idx="27">
                  <c:v>1004.4973675751635</c:v>
                </c:pt>
                <c:pt idx="28">
                  <c:v>976.53624561299762</c:v>
                </c:pt>
                <c:pt idx="29">
                  <c:v>946.33748857331625</c:v>
                </c:pt>
                <c:pt idx="30">
                  <c:v>913.82277550180345</c:v>
                </c:pt>
                <c:pt idx="31">
                  <c:v>878.91154766000204</c:v>
                </c:pt>
                <c:pt idx="32">
                  <c:v>841.52095034232889</c:v>
                </c:pt>
                <c:pt idx="33">
                  <c:v>801.56577326088598</c:v>
                </c:pt>
                <c:pt idx="34">
                  <c:v>758.95838946404956</c:v>
                </c:pt>
                <c:pt idx="35">
                  <c:v>717.80869275403643</c:v>
                </c:pt>
                <c:pt idx="36">
                  <c:v>673.90803356783829</c:v>
                </c:pt>
                <c:pt idx="37">
                  <c:v>627.16283328509178</c:v>
                </c:pt>
                <c:pt idx="38">
                  <c:v>577.47687052560934</c:v>
                </c:pt>
                <c:pt idx="39">
                  <c:v>524.75121287043476</c:v>
                </c:pt>
                <c:pt idx="40">
                  <c:v>468.884146908844</c:v>
                </c:pt>
                <c:pt idx="41">
                  <c:v>409.77110657164258</c:v>
                </c:pt>
                <c:pt idx="42">
                  <c:v>347.3045997101907</c:v>
                </c:pt>
                <c:pt idx="43">
                  <c:v>281.37413287965325</c:v>
                </c:pt>
                <c:pt idx="44">
                  <c:v>171.7965716840678</c:v>
                </c:pt>
                <c:pt idx="45">
                  <c:v>57.723358387507062</c:v>
                </c:pt>
                <c:pt idx="46">
                  <c:v>-60.981502069589737</c:v>
                </c:pt>
                <c:pt idx="47">
                  <c:v>-184.45764628832541</c:v>
                </c:pt>
                <c:pt idx="48">
                  <c:v>-312.84844367498266</c:v>
                </c:pt>
                <c:pt idx="49">
                  <c:v>-446.30108989859087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BD-4EA5-AFB7-16C8C947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869439"/>
        <c:axId val="409451887"/>
      </c:lineChart>
      <c:catAx>
        <c:axId val="64986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451887"/>
        <c:crosses val="autoZero"/>
        <c:auto val="1"/>
        <c:lblAlgn val="ctr"/>
        <c:lblOffset val="100"/>
        <c:noMultiLvlLbl val="0"/>
      </c:catAx>
      <c:valAx>
        <c:axId val="40945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9869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壓力_先生轉職!$V$1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壓力_先生轉職!$E$4:$E$53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壓力_先生轉職!$V$4:$V$53</c:f>
              <c:numCache>
                <c:formatCode>0</c:formatCode>
                <c:ptCount val="50"/>
                <c:pt idx="0">
                  <c:v>147.22</c:v>
                </c:pt>
                <c:pt idx="1">
                  <c:v>149.575456</c:v>
                </c:pt>
                <c:pt idx="2">
                  <c:v>152.00180336</c:v>
                </c:pt>
                <c:pt idx="3">
                  <c:v>154.49348635679999</c:v>
                </c:pt>
                <c:pt idx="4">
                  <c:v>156.19477263431997</c:v>
                </c:pt>
                <c:pt idx="5">
                  <c:v>158.61127538706</c:v>
                </c:pt>
                <c:pt idx="6">
                  <c:v>161.29448747876694</c:v>
                </c:pt>
                <c:pt idx="7">
                  <c:v>163.36224005238219</c:v>
                </c:pt>
                <c:pt idx="8">
                  <c:v>164.50523274867183</c:v>
                </c:pt>
                <c:pt idx="9">
                  <c:v>167.76328984188982</c:v>
                </c:pt>
                <c:pt idx="10">
                  <c:v>170.63954321821143</c:v>
                </c:pt>
                <c:pt idx="11">
                  <c:v>173.47956841027568</c:v>
                </c:pt>
                <c:pt idx="12">
                  <c:v>175.69401788913649</c:v>
                </c:pt>
                <c:pt idx="13">
                  <c:v>180.07959349426835</c:v>
                </c:pt>
                <c:pt idx="14">
                  <c:v>137.11430018676128</c:v>
                </c:pt>
                <c:pt idx="15">
                  <c:v>133.4676401962079</c:v>
                </c:pt>
                <c:pt idx="16">
                  <c:v>139.32139316607191</c:v>
                </c:pt>
                <c:pt idx="17">
                  <c:v>145.52169120197075</c:v>
                </c:pt>
                <c:pt idx="18">
                  <c:v>152.06937946673742</c:v>
                </c:pt>
                <c:pt idx="19">
                  <c:v>159.0041575494285</c:v>
                </c:pt>
                <c:pt idx="20">
                  <c:v>162.18794107351826</c:v>
                </c:pt>
                <c:pt idx="21">
                  <c:v>171.18332441640223</c:v>
                </c:pt>
                <c:pt idx="22">
                  <c:v>180.69357158004732</c:v>
                </c:pt>
                <c:pt idx="23">
                  <c:v>190.74764344567717</c:v>
                </c:pt>
                <c:pt idx="24">
                  <c:v>376.80348034357769</c:v>
                </c:pt>
                <c:pt idx="25">
                  <c:v>130.42894007993684</c:v>
                </c:pt>
                <c:pt idx="26">
                  <c:v>132.01792996830119</c:v>
                </c:pt>
                <c:pt idx="27">
                  <c:v>133.61998787616812</c:v>
                </c:pt>
                <c:pt idx="28">
                  <c:v>135.23500092836241</c:v>
                </c:pt>
                <c:pt idx="29">
                  <c:v>136.86284650749403</c:v>
                </c:pt>
                <c:pt idx="30">
                  <c:v>138.50339190941955</c:v>
                </c:pt>
                <c:pt idx="31">
                  <c:v>140.15649398881911</c:v>
                </c:pt>
                <c:pt idx="32">
                  <c:v>141.82199879463087</c:v>
                </c:pt>
                <c:pt idx="33">
                  <c:v>143.49974119507957</c:v>
                </c:pt>
                <c:pt idx="34">
                  <c:v>145.18954449202838</c:v>
                </c:pt>
                <c:pt idx="35">
                  <c:v>146.89122002437708</c:v>
                </c:pt>
                <c:pt idx="36">
                  <c:v>148.68856676022295</c:v>
                </c:pt>
                <c:pt idx="37">
                  <c:v>150.49905087749289</c:v>
                </c:pt>
                <c:pt idx="38">
                  <c:v>152.32247893274953</c:v>
                </c:pt>
                <c:pt idx="39">
                  <c:v>154.15864448986548</c:v>
                </c:pt>
                <c:pt idx="40">
                  <c:v>156.00732767769293</c:v>
                </c:pt>
                <c:pt idx="41">
                  <c:v>157.86829473523755</c:v>
                </c:pt>
                <c:pt idx="42">
                  <c:v>159.74129754401287</c:v>
                </c:pt>
                <c:pt idx="43">
                  <c:v>161.62607314724508</c:v>
                </c:pt>
                <c:pt idx="44">
                  <c:v>123.45278065564548</c:v>
                </c:pt>
                <c:pt idx="45">
                  <c:v>124.55885988706538</c:v>
                </c:pt>
                <c:pt idx="46">
                  <c:v>125.65980117547983</c:v>
                </c:pt>
                <c:pt idx="47">
                  <c:v>126.75495657147601</c:v>
                </c:pt>
                <c:pt idx="48">
                  <c:v>127.84365426284188</c:v>
                </c:pt>
                <c:pt idx="49">
                  <c:v>128.92519787923379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A-4368-95F2-378EE32E5AB1}"/>
            </c:ext>
          </c:extLst>
        </c:ser>
        <c:ser>
          <c:idx val="1"/>
          <c:order val="1"/>
          <c:tx>
            <c:strRef>
              <c:f>壓力_先生轉職!$AM$1</c:f>
              <c:strCache>
                <c:ptCount val="1"/>
                <c:pt idx="0">
                  <c:v>支出
合計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壓力_先生轉職!$E$4:$E$53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壓力_先生轉職!$AM$4:$AM$53</c:f>
              <c:numCache>
                <c:formatCode>0</c:formatCode>
                <c:ptCount val="50"/>
                <c:pt idx="0">
                  <c:v>139.6336</c:v>
                </c:pt>
                <c:pt idx="1">
                  <c:v>141.03067200000001</c:v>
                </c:pt>
                <c:pt idx="2">
                  <c:v>142.65168543999999</c:v>
                </c:pt>
                <c:pt idx="3">
                  <c:v>165.74576234879999</c:v>
                </c:pt>
                <c:pt idx="4">
                  <c:v>147.29969581273599</c:v>
                </c:pt>
                <c:pt idx="5">
                  <c:v>150.16879037487871</c:v>
                </c:pt>
                <c:pt idx="6">
                  <c:v>166.00174272828704</c:v>
                </c:pt>
                <c:pt idx="7">
                  <c:v>192.09136520289812</c:v>
                </c:pt>
                <c:pt idx="8">
                  <c:v>141.2764269189521</c:v>
                </c:pt>
                <c:pt idx="9">
                  <c:v>155.01435545733113</c:v>
                </c:pt>
                <c:pt idx="10">
                  <c:v>212.03288644423714</c:v>
                </c:pt>
                <c:pt idx="11">
                  <c:v>126.90939436110368</c:v>
                </c:pt>
                <c:pt idx="12">
                  <c:v>128.11598224832576</c:v>
                </c:pt>
                <c:pt idx="13">
                  <c:v>129.24070189329228</c:v>
                </c:pt>
                <c:pt idx="14">
                  <c:v>330.48391593115809</c:v>
                </c:pt>
                <c:pt idx="15">
                  <c:v>93.245994249781305</c:v>
                </c:pt>
                <c:pt idx="16">
                  <c:v>94.52731413477693</c:v>
                </c:pt>
                <c:pt idx="17">
                  <c:v>96.314311386304482</c:v>
                </c:pt>
                <c:pt idx="18">
                  <c:v>97.644997614030558</c:v>
                </c:pt>
                <c:pt idx="19">
                  <c:v>203.01261528479597</c:v>
                </c:pt>
                <c:pt idx="20">
                  <c:v>65.771492185470265</c:v>
                </c:pt>
                <c:pt idx="21">
                  <c:v>66.977322029179689</c:v>
                </c:pt>
                <c:pt idx="22">
                  <c:v>68.201268469763278</c:v>
                </c:pt>
                <c:pt idx="23">
                  <c:v>69.677419969462534</c:v>
                </c:pt>
                <c:pt idx="24">
                  <c:v>122.32363160146052</c:v>
                </c:pt>
                <c:pt idx="25">
                  <c:v>124.68610423348973</c:v>
                </c:pt>
                <c:pt idx="26">
                  <c:v>127.09582631815952</c:v>
                </c:pt>
                <c:pt idx="27">
                  <c:v>129.5537428445227</c:v>
                </c:pt>
                <c:pt idx="28">
                  <c:v>132.06081770141316</c:v>
                </c:pt>
                <c:pt idx="29">
                  <c:v>134.61803405544143</c:v>
                </c:pt>
                <c:pt idx="30">
                  <c:v>137.22639473655025</c:v>
                </c:pt>
                <c:pt idx="31">
                  <c:v>139.88692263128127</c:v>
                </c:pt>
                <c:pt idx="32">
                  <c:v>142.60066108390689</c:v>
                </c:pt>
                <c:pt idx="33">
                  <c:v>145.36867430558502</c:v>
                </c:pt>
                <c:pt idx="34">
                  <c:v>148.19204779169672</c:v>
                </c:pt>
                <c:pt idx="35">
                  <c:v>146.87188874753068</c:v>
                </c:pt>
                <c:pt idx="36">
                  <c:v>149.80932652248129</c:v>
                </c:pt>
                <c:pt idx="37">
                  <c:v>152.80551305293091</c:v>
                </c:pt>
                <c:pt idx="38">
                  <c:v>155.86162331398953</c:v>
                </c:pt>
                <c:pt idx="39">
                  <c:v>158.97885578026933</c:v>
                </c:pt>
                <c:pt idx="40">
                  <c:v>162.15843289587471</c:v>
                </c:pt>
                <c:pt idx="41">
                  <c:v>165.4016015537922</c:v>
                </c:pt>
                <c:pt idx="42">
                  <c:v>168.70963358486804</c:v>
                </c:pt>
                <c:pt idx="43">
                  <c:v>172.0838262565654</c:v>
                </c:pt>
                <c:pt idx="44">
                  <c:v>175.5255027816967</c:v>
                </c:pt>
                <c:pt idx="45">
                  <c:v>179.03601283733065</c:v>
                </c:pt>
                <c:pt idx="46">
                  <c:v>182.61673309407726</c:v>
                </c:pt>
                <c:pt idx="47">
                  <c:v>186.26906775595882</c:v>
                </c:pt>
                <c:pt idx="48">
                  <c:v>189.99444911107798</c:v>
                </c:pt>
                <c:pt idx="49">
                  <c:v>193.79433809329956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A-4368-95F2-378EE32E5AB1}"/>
            </c:ext>
          </c:extLst>
        </c:ser>
        <c:ser>
          <c:idx val="2"/>
          <c:order val="2"/>
          <c:tx>
            <c:strRef>
              <c:f>壓力_先生轉職!$AO$1</c:f>
              <c:strCache>
                <c:ptCount val="1"/>
                <c:pt idx="0">
                  <c:v>期末
生息資產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壓力_先生轉職!$E$4:$E$53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壓力_先生轉職!$AO$4:$AO$53</c:f>
              <c:numCache>
                <c:formatCode>0</c:formatCode>
                <c:ptCount val="50"/>
                <c:pt idx="0">
                  <c:v>62.586399999999998</c:v>
                </c:pt>
                <c:pt idx="1">
                  <c:v>71.13118399999999</c:v>
                </c:pt>
                <c:pt idx="2">
                  <c:v>80.481301919999993</c:v>
                </c:pt>
                <c:pt idx="3">
                  <c:v>69.229025927999999</c:v>
                </c:pt>
                <c:pt idx="4">
                  <c:v>78.124102749583983</c:v>
                </c:pt>
                <c:pt idx="5">
                  <c:v>86.566587761765277</c:v>
                </c:pt>
                <c:pt idx="6">
                  <c:v>81.859332512245174</c:v>
                </c:pt>
                <c:pt idx="7">
                  <c:v>53.130207361729248</c:v>
                </c:pt>
                <c:pt idx="8">
                  <c:v>76.35901319144898</c:v>
                </c:pt>
                <c:pt idx="9">
                  <c:v>89.10794757600766</c:v>
                </c:pt>
                <c:pt idx="10">
                  <c:v>47.714604349981954</c:v>
                </c:pt>
                <c:pt idx="11">
                  <c:v>94.28477839915395</c:v>
                </c:pt>
                <c:pt idx="12">
                  <c:v>141.86281403996469</c:v>
                </c:pt>
                <c:pt idx="13">
                  <c:v>192.70170564094076</c:v>
                </c:pt>
                <c:pt idx="14">
                  <c:v>-0.66791010345605173</c:v>
                </c:pt>
                <c:pt idx="15">
                  <c:v>39.553735842970539</c:v>
                </c:pt>
                <c:pt idx="16">
                  <c:v>84.347814874265524</c:v>
                </c:pt>
                <c:pt idx="17">
                  <c:v>133.5551946899318</c:v>
                </c:pt>
                <c:pt idx="18">
                  <c:v>187.97957654263865</c:v>
                </c:pt>
                <c:pt idx="19">
                  <c:v>143.97111880727118</c:v>
                </c:pt>
                <c:pt idx="20">
                  <c:v>240.38756769531918</c:v>
                </c:pt>
                <c:pt idx="21">
                  <c:v>344.5935700825417</c:v>
                </c:pt>
                <c:pt idx="22">
                  <c:v>457.08587319282572</c:v>
                </c:pt>
                <c:pt idx="23">
                  <c:v>578.15609666904038</c:v>
                </c:pt>
                <c:pt idx="24">
                  <c:v>832.63594541115754</c:v>
                </c:pt>
                <c:pt idx="25">
                  <c:v>838.3787812576046</c:v>
                </c:pt>
                <c:pt idx="26">
                  <c:v>843.30088490774631</c:v>
                </c:pt>
                <c:pt idx="27">
                  <c:v>847.3671299393917</c:v>
                </c:pt>
                <c:pt idx="28">
                  <c:v>850.54131316634096</c:v>
                </c:pt>
                <c:pt idx="29">
                  <c:v>852.7861256183935</c:v>
                </c:pt>
                <c:pt idx="30">
                  <c:v>854.0631227912628</c:v>
                </c:pt>
                <c:pt idx="31">
                  <c:v>854.33269414880067</c:v>
                </c:pt>
                <c:pt idx="32">
                  <c:v>853.55403185952468</c:v>
                </c:pt>
                <c:pt idx="33">
                  <c:v>851.68509874901929</c:v>
                </c:pt>
                <c:pt idx="34">
                  <c:v>848.68259544935097</c:v>
                </c:pt>
                <c:pt idx="35">
                  <c:v>848.70192672619737</c:v>
                </c:pt>
                <c:pt idx="36">
                  <c:v>847.58116696393904</c:v>
                </c:pt>
                <c:pt idx="37">
                  <c:v>845.27470478850103</c:v>
                </c:pt>
                <c:pt idx="38">
                  <c:v>841.735560407261</c:v>
                </c:pt>
                <c:pt idx="39">
                  <c:v>836.91534911685721</c:v>
                </c:pt>
                <c:pt idx="40">
                  <c:v>830.76424389867543</c:v>
                </c:pt>
                <c:pt idx="41">
                  <c:v>823.23093708012084</c:v>
                </c:pt>
                <c:pt idx="42">
                  <c:v>814.26260103926563</c:v>
                </c:pt>
                <c:pt idx="43">
                  <c:v>803.80484792994525</c:v>
                </c:pt>
                <c:pt idx="44">
                  <c:v>751.73212580389406</c:v>
                </c:pt>
                <c:pt idx="45">
                  <c:v>697.25497285362883</c:v>
                </c:pt>
                <c:pt idx="46">
                  <c:v>640.29804093503139</c:v>
                </c:pt>
                <c:pt idx="47">
                  <c:v>580.78392975054862</c:v>
                </c:pt>
                <c:pt idx="48">
                  <c:v>518.63313490231258</c:v>
                </c:pt>
                <c:pt idx="49">
                  <c:v>453.76399468824684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A-4368-95F2-378EE32E5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869439"/>
        <c:axId val="409451887"/>
      </c:lineChart>
      <c:catAx>
        <c:axId val="64986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451887"/>
        <c:crosses val="autoZero"/>
        <c:auto val="1"/>
        <c:lblAlgn val="ctr"/>
        <c:lblOffset val="100"/>
        <c:noMultiLvlLbl val="0"/>
      </c:catAx>
      <c:valAx>
        <c:axId val="40945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9869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3"/>
          <c:order val="13"/>
          <c:tx>
            <c:strRef>
              <c:f>測試_投資報酬增加!$W$1</c:f>
              <c:strCache>
                <c:ptCount val="1"/>
                <c:pt idx="0">
                  <c:v>收入
合計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測試_投資報酬增加!$W$4:$W$53</c:f>
              <c:numCache>
                <c:formatCode>0</c:formatCode>
                <c:ptCount val="50"/>
                <c:pt idx="0">
                  <c:v>147.22</c:v>
                </c:pt>
                <c:pt idx="1">
                  <c:v>149.575456</c:v>
                </c:pt>
                <c:pt idx="2">
                  <c:v>152.00180336</c:v>
                </c:pt>
                <c:pt idx="3">
                  <c:v>154.49348635679999</c:v>
                </c:pt>
                <c:pt idx="4">
                  <c:v>156.19477263431997</c:v>
                </c:pt>
                <c:pt idx="5">
                  <c:v>158.61127538706</c:v>
                </c:pt>
                <c:pt idx="6">
                  <c:v>161.29448747876694</c:v>
                </c:pt>
                <c:pt idx="7">
                  <c:v>163.36224005238219</c:v>
                </c:pt>
                <c:pt idx="8">
                  <c:v>164.50523274867183</c:v>
                </c:pt>
                <c:pt idx="9">
                  <c:v>167.76328984188982</c:v>
                </c:pt>
                <c:pt idx="10">
                  <c:v>170.63954321821143</c:v>
                </c:pt>
                <c:pt idx="11">
                  <c:v>173.47956841027568</c:v>
                </c:pt>
                <c:pt idx="12">
                  <c:v>175.69401788913649</c:v>
                </c:pt>
                <c:pt idx="13">
                  <c:v>180.07959349426835</c:v>
                </c:pt>
                <c:pt idx="14">
                  <c:v>184.63569243784119</c:v>
                </c:pt>
                <c:pt idx="15">
                  <c:v>189.36510205984177</c:v>
                </c:pt>
                <c:pt idx="16">
                  <c:v>195.81471956598705</c:v>
                </c:pt>
                <c:pt idx="17">
                  <c:v>202.51331638023578</c:v>
                </c:pt>
                <c:pt idx="18">
                  <c:v>209.45137103170981</c:v>
                </c:pt>
                <c:pt idx="19">
                  <c:v>216.65747467037238</c:v>
                </c:pt>
                <c:pt idx="20">
                  <c:v>219.9816466066062</c:v>
                </c:pt>
                <c:pt idx="21">
                  <c:v>228.97374829914304</c:v>
                </c:pt>
                <c:pt idx="22">
                  <c:v>238.32342268364789</c:v>
                </c:pt>
                <c:pt idx="23">
                  <c:v>248.0450669193618</c:v>
                </c:pt>
                <c:pt idx="24">
                  <c:v>392.05249071101616</c:v>
                </c:pt>
                <c:pt idx="25">
                  <c:v>145.9829306547241</c:v>
                </c:pt>
                <c:pt idx="26">
                  <c:v>147.88300035458417</c:v>
                </c:pt>
                <c:pt idx="27">
                  <c:v>149.80235967017677</c:v>
                </c:pt>
                <c:pt idx="28">
                  <c:v>151.74102015825125</c:v>
                </c:pt>
                <c:pt idx="29">
                  <c:v>153.69898612198062</c:v>
                </c:pt>
                <c:pt idx="30">
                  <c:v>155.67625431619589</c:v>
                </c:pt>
                <c:pt idx="31">
                  <c:v>157.67281364373096</c:v>
                </c:pt>
                <c:pt idx="32">
                  <c:v>159.68864484264094</c:v>
                </c:pt>
                <c:pt idx="33">
                  <c:v>161.72372016404987</c:v>
                </c:pt>
                <c:pt idx="34">
                  <c:v>163.77800304037808</c:v>
                </c:pt>
                <c:pt idx="35">
                  <c:v>165.8514477436938</c:v>
                </c:pt>
                <c:pt idx="36">
                  <c:v>168.02799903392599</c:v>
                </c:pt>
                <c:pt idx="37">
                  <c:v>170.22527179667</c:v>
                </c:pt>
                <c:pt idx="38">
                  <c:v>172.4432242703102</c:v>
                </c:pt>
                <c:pt idx="39">
                  <c:v>174.68180473417732</c:v>
                </c:pt>
                <c:pt idx="40">
                  <c:v>176.94095112689101</c:v>
                </c:pt>
                <c:pt idx="41">
                  <c:v>179.22059065341961</c:v>
                </c:pt>
                <c:pt idx="42">
                  <c:v>181.52063938055855</c:v>
                </c:pt>
                <c:pt idx="43">
                  <c:v>183.84100182052168</c:v>
                </c:pt>
                <c:pt idx="44">
                  <c:v>146.1120079023876</c:v>
                </c:pt>
                <c:pt idx="45">
                  <c:v>147.67127167874236</c:v>
                </c:pt>
                <c:pt idx="46">
                  <c:v>149.23446120299033</c:v>
                </c:pt>
                <c:pt idx="47">
                  <c:v>150.80110979953676</c:v>
                </c:pt>
                <c:pt idx="48">
                  <c:v>152.37073055546384</c:v>
                </c:pt>
                <c:pt idx="49">
                  <c:v>153.94281569770817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3-4022-BA35-CFF3648C8817}"/>
            </c:ext>
          </c:extLst>
        </c:ser>
        <c:ser>
          <c:idx val="15"/>
          <c:order val="15"/>
          <c:tx>
            <c:v>支出</c:v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38.4</c:v>
              </c:pt>
              <c:pt idx="2">
                <c:v>38.4</c:v>
              </c:pt>
              <c:pt idx="3">
                <c:v>38.4</c:v>
              </c:pt>
              <c:pt idx="4">
                <c:v>38.4</c:v>
              </c:pt>
              <c:pt idx="5">
                <c:v>38.4</c:v>
              </c:pt>
              <c:pt idx="6">
                <c:v>38.4</c:v>
              </c:pt>
              <c:pt idx="7">
                <c:v>38.4</c:v>
              </c:pt>
              <c:pt idx="8">
                <c:v>38.4</c:v>
              </c:pt>
              <c:pt idx="9">
                <c:v>38.4</c:v>
              </c:pt>
              <c:pt idx="10">
                <c:v>38.4</c:v>
              </c:pt>
              <c:pt idx="11">
                <c:v>38.4</c:v>
              </c:pt>
              <c:pt idx="12">
                <c:v>38.4</c:v>
              </c:pt>
              <c:pt idx="13">
                <c:v>38.4</c:v>
              </c:pt>
              <c:pt idx="14">
                <c:v>38.4</c:v>
              </c:pt>
              <c:pt idx="15">
                <c:v>38.4</c:v>
              </c:pt>
              <c:pt idx="16">
                <c:v>38.4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C33-4022-BA35-CFF3648C8817}"/>
            </c:ext>
          </c:extLst>
        </c:ser>
        <c:ser>
          <c:idx val="16"/>
          <c:order val="16"/>
          <c:tx>
            <c:v>#REF!</c:v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5</c:v>
              </c:pt>
              <c:pt idx="2">
                <c:v>5.0999999999999996</c:v>
              </c:pt>
              <c:pt idx="3">
                <c:v>5.202</c:v>
              </c:pt>
              <c:pt idx="4">
                <c:v>5.3060400000000003</c:v>
              </c:pt>
              <c:pt idx="5">
                <c:v>5.4121608000000005</c:v>
              </c:pt>
              <c:pt idx="6">
                <c:v>5.5204040160000005</c:v>
              </c:pt>
              <c:pt idx="7">
                <c:v>6</c:v>
              </c:pt>
              <c:pt idx="8">
                <c:v>6.12</c:v>
              </c:pt>
              <c:pt idx="9">
                <c:v>6.2423999999999999</c:v>
              </c:pt>
              <c:pt idx="10">
                <c:v>6.367248</c:v>
              </c:pt>
              <c:pt idx="11">
                <c:v>6.4945929600000003</c:v>
              </c:pt>
              <c:pt idx="12">
                <c:v>6.6244848192000001</c:v>
              </c:pt>
              <c:pt idx="13">
                <c:v>7</c:v>
              </c:pt>
              <c:pt idx="14">
                <c:v>7.1400000000000006</c:v>
              </c:pt>
              <c:pt idx="15">
                <c:v>7.2828000000000008</c:v>
              </c:pt>
              <c:pt idx="16">
                <c:v>7.4284560000000006</c:v>
              </c:pt>
              <c:pt idx="17">
                <c:v>7.5770251200000009</c:v>
              </c:pt>
              <c:pt idx="18">
                <c:v>7.7285656224000014</c:v>
              </c:pt>
              <c:pt idx="19">
                <c:v>8</c:v>
              </c:pt>
              <c:pt idx="20">
                <c:v>8.16</c:v>
              </c:pt>
              <c:pt idx="21">
                <c:v>8.3231999999999999</c:v>
              </c:pt>
              <c:pt idx="22">
                <c:v>8.4896639999999994</c:v>
              </c:pt>
              <c:pt idx="23">
                <c:v>8.6594572799999998</c:v>
              </c:pt>
              <c:pt idx="24">
                <c:v>8.8326464256000001</c:v>
              </c:pt>
              <c:pt idx="25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C33-4022-BA35-CFF3648C8817}"/>
            </c:ext>
          </c:extLst>
        </c:ser>
        <c:ser>
          <c:idx val="17"/>
          <c:order val="17"/>
          <c:tx>
            <c:v>#REF!</c:v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12</c:v>
              </c:pt>
              <c:pt idx="2">
                <c:v>12</c:v>
              </c:pt>
              <c:pt idx="3">
                <c:v>12</c:v>
              </c:pt>
              <c:pt idx="4">
                <c:v>12</c:v>
              </c:pt>
              <c:pt idx="5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C33-4022-BA35-CFF3648C8817}"/>
            </c:ext>
          </c:extLst>
        </c:ser>
        <c:ser>
          <c:idx val="18"/>
          <c:order val="18"/>
          <c:tx>
            <c:v>#REF!</c:v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3</c:v>
              </c:pt>
              <c:pt idx="2">
                <c:v>3.06</c:v>
              </c:pt>
              <c:pt idx="3">
                <c:v>3.1212</c:v>
              </c:pt>
              <c:pt idx="4">
                <c:v>3.183624</c:v>
              </c:pt>
              <c:pt idx="5">
                <c:v>3.2472964800000002</c:v>
              </c:pt>
              <c:pt idx="6">
                <c:v>3.3122424096</c:v>
              </c:pt>
              <c:pt idx="7">
                <c:v>4</c:v>
              </c:pt>
              <c:pt idx="8">
                <c:v>4.08</c:v>
              </c:pt>
              <c:pt idx="9">
                <c:v>4.1616</c:v>
              </c:pt>
              <c:pt idx="10">
                <c:v>4.2448319999999997</c:v>
              </c:pt>
              <c:pt idx="11">
                <c:v>4.3297286399999999</c:v>
              </c:pt>
              <c:pt idx="12">
                <c:v>4.4163232128000001</c:v>
              </c:pt>
              <c:pt idx="13">
                <c:v>5</c:v>
              </c:pt>
              <c:pt idx="14">
                <c:v>5.0999999999999996</c:v>
              </c:pt>
              <c:pt idx="15">
                <c:v>5.202</c:v>
              </c:pt>
              <c:pt idx="16">
                <c:v>5.3060400000000003</c:v>
              </c:pt>
              <c:pt idx="17">
                <c:v>5.4121608000000005</c:v>
              </c:pt>
              <c:pt idx="18">
                <c:v>5.5204040160000005</c:v>
              </c:pt>
              <c:pt idx="19">
                <c:v>6</c:v>
              </c:pt>
              <c:pt idx="20">
                <c:v>6.12</c:v>
              </c:pt>
              <c:pt idx="21">
                <c:v>6.2423999999999999</c:v>
              </c:pt>
              <c:pt idx="22">
                <c:v>6.367248</c:v>
              </c:pt>
              <c:pt idx="23">
                <c:v>6.4945929600000003</c:v>
              </c:pt>
              <c:pt idx="24">
                <c:v>6.6244848192000001</c:v>
              </c:pt>
              <c:pt idx="2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C33-4022-BA35-CFF3648C8817}"/>
            </c:ext>
          </c:extLst>
        </c:ser>
        <c:ser>
          <c:idx val="19"/>
          <c:order val="19"/>
          <c:tx>
            <c:v>#REF!</c:v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22.8</c:v>
              </c:pt>
              <c:pt idx="2">
                <c:v>23.256</c:v>
              </c:pt>
              <c:pt idx="3">
                <c:v>23.721119999999999</c:v>
              </c:pt>
              <c:pt idx="4">
                <c:v>24.195542400000001</c:v>
              </c:pt>
              <c:pt idx="5">
                <c:v>24.679453248000002</c:v>
              </c:pt>
              <c:pt idx="6">
                <c:v>18.879781734720002</c:v>
              </c:pt>
              <c:pt idx="7">
                <c:v>19.257377369414403</c:v>
              </c:pt>
              <c:pt idx="8">
                <c:v>13.095016611201794</c:v>
              </c:pt>
              <c:pt idx="9">
                <c:v>13.35691694342583</c:v>
              </c:pt>
              <c:pt idx="10">
                <c:v>13.624055282294346</c:v>
              </c:pt>
              <c:pt idx="11">
                <c:v>13.896536387940234</c:v>
              </c:pt>
              <c:pt idx="12">
                <c:v>14.17446711569904</c:v>
              </c:pt>
              <c:pt idx="13">
                <c:v>14.457956458013021</c:v>
              </c:pt>
              <c:pt idx="14">
                <c:v>14.747115587173282</c:v>
              </c:pt>
              <c:pt idx="15">
                <c:v>15.042057898916747</c:v>
              </c:pt>
              <c:pt idx="16">
                <c:v>15.342899056895082</c:v>
              </c:pt>
              <c:pt idx="17">
                <c:v>15.649757038032984</c:v>
              </c:pt>
              <c:pt idx="18">
                <c:v>15.962752178793645</c:v>
              </c:pt>
              <c:pt idx="19">
                <c:v>16.282007222369518</c:v>
              </c:pt>
              <c:pt idx="20">
                <c:v>16.607647366816909</c:v>
              </c:pt>
              <c:pt idx="21">
                <c:v>16.939800314153249</c:v>
              </c:pt>
              <c:pt idx="22">
                <c:v>17.278596320436314</c:v>
              </c:pt>
              <c:pt idx="23">
                <c:v>17.624168246845041</c:v>
              </c:pt>
              <c:pt idx="24">
                <c:v>17.976651611781943</c:v>
              </c:pt>
              <c:pt idx="25">
                <c:v>18.336184644017582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C33-4022-BA35-CFF3648C8817}"/>
            </c:ext>
          </c:extLst>
        </c:ser>
        <c:ser>
          <c:idx val="20"/>
          <c:order val="20"/>
          <c:tx>
            <c:v>#REF!</c:v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4.08</c:v>
              </c:pt>
              <c:pt idx="2">
                <c:v>4.08</c:v>
              </c:pt>
              <c:pt idx="3">
                <c:v>4.08</c:v>
              </c:pt>
              <c:pt idx="4">
                <c:v>4.08</c:v>
              </c:pt>
              <c:pt idx="5">
                <c:v>4.08</c:v>
              </c:pt>
              <c:pt idx="6">
                <c:v>4.08</c:v>
              </c:pt>
              <c:pt idx="7">
                <c:v>4.08</c:v>
              </c:pt>
              <c:pt idx="8">
                <c:v>4.08</c:v>
              </c:pt>
              <c:pt idx="9">
                <c:v>4.08</c:v>
              </c:pt>
              <c:pt idx="10">
                <c:v>4.08</c:v>
              </c:pt>
              <c:pt idx="11">
                <c:v>4.08</c:v>
              </c:pt>
              <c:pt idx="12">
                <c:v>4.08</c:v>
              </c:pt>
              <c:pt idx="13">
                <c:v>4.08</c:v>
              </c:pt>
              <c:pt idx="14">
                <c:v>4.08</c:v>
              </c:pt>
              <c:pt idx="15">
                <c:v>4.08</c:v>
              </c:pt>
              <c:pt idx="16">
                <c:v>4.08</c:v>
              </c:pt>
              <c:pt idx="17">
                <c:v>4.08</c:v>
              </c:pt>
              <c:pt idx="18">
                <c:v>4.08</c:v>
              </c:pt>
              <c:pt idx="19">
                <c:v>4.08</c:v>
              </c:pt>
              <c:pt idx="20">
                <c:v>4.08</c:v>
              </c:pt>
              <c:pt idx="21">
                <c:v>4.08</c:v>
              </c:pt>
              <c:pt idx="22">
                <c:v>4.08</c:v>
              </c:pt>
              <c:pt idx="23">
                <c:v>4.08</c:v>
              </c:pt>
              <c:pt idx="24">
                <c:v>4.08</c:v>
              </c:pt>
              <c:pt idx="25">
                <c:v>4.08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DC33-4022-BA35-CFF3648C8817}"/>
            </c:ext>
          </c:extLst>
        </c:ser>
        <c:ser>
          <c:idx val="21"/>
          <c:order val="21"/>
          <c:tx>
            <c:v>#REF!</c:v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4.5</c:v>
              </c:pt>
              <c:pt idx="2">
                <c:v>4.7</c:v>
              </c:pt>
              <c:pt idx="3">
                <c:v>4.9000000000000004</c:v>
              </c:pt>
              <c:pt idx="4">
                <c:v>5.3</c:v>
              </c:pt>
              <c:pt idx="5">
                <c:v>5.5</c:v>
              </c:pt>
              <c:pt idx="6">
                <c:v>5.3</c:v>
              </c:pt>
              <c:pt idx="7">
                <c:v>5.6</c:v>
              </c:pt>
              <c:pt idx="8">
                <c:v>5.0999999999999996</c:v>
              </c:pt>
              <c:pt idx="9">
                <c:v>5.8</c:v>
              </c:pt>
              <c:pt idx="10">
                <c:v>6.3</c:v>
              </c:pt>
              <c:pt idx="11">
                <c:v>6.6</c:v>
              </c:pt>
              <c:pt idx="12">
                <c:v>7.2</c:v>
              </c:pt>
              <c:pt idx="13">
                <c:v>7.5</c:v>
              </c:pt>
              <c:pt idx="14">
                <c:v>7.8</c:v>
              </c:pt>
              <c:pt idx="15">
                <c:v>8</c:v>
              </c:pt>
              <c:pt idx="16">
                <c:v>8.3000000000000007</c:v>
              </c:pt>
              <c:pt idx="17">
                <c:v>8.5</c:v>
              </c:pt>
              <c:pt idx="18">
                <c:v>8.8000000000000007</c:v>
              </c:pt>
              <c:pt idx="19">
                <c:v>9.1</c:v>
              </c:pt>
              <c:pt idx="20">
                <c:v>9.4</c:v>
              </c:pt>
              <c:pt idx="21">
                <c:v>9.6999999999999993</c:v>
              </c:pt>
              <c:pt idx="22">
                <c:v>10</c:v>
              </c:pt>
              <c:pt idx="23">
                <c:v>10.3</c:v>
              </c:pt>
              <c:pt idx="24">
                <c:v>10.6</c:v>
              </c:pt>
              <c:pt idx="25">
                <c:v>10.9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DC33-4022-BA35-CFF3648C8817}"/>
            </c:ext>
          </c:extLst>
        </c:ser>
        <c:ser>
          <c:idx val="22"/>
          <c:order val="22"/>
          <c:tx>
            <c:v>#REF!</c:v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13.6</c:v>
              </c:pt>
              <c:pt idx="2">
                <c:v>13.6</c:v>
              </c:pt>
              <c:pt idx="3">
                <c:v>13.6</c:v>
              </c:pt>
              <c:pt idx="4">
                <c:v>13.6</c:v>
              </c:pt>
              <c:pt idx="5">
                <c:v>13.6</c:v>
              </c:pt>
              <c:pt idx="6">
                <c:v>13.6</c:v>
              </c:pt>
              <c:pt idx="7">
                <c:v>13.6</c:v>
              </c:pt>
              <c:pt idx="8">
                <c:v>13.6</c:v>
              </c:pt>
              <c:pt idx="9">
                <c:v>13.6</c:v>
              </c:pt>
              <c:pt idx="10">
                <c:v>13.6</c:v>
              </c:pt>
              <c:pt idx="11">
                <c:v>13.6</c:v>
              </c:pt>
              <c:pt idx="12">
                <c:v>7.6</c:v>
              </c:pt>
              <c:pt idx="13">
                <c:v>7.6</c:v>
              </c:pt>
              <c:pt idx="14">
                <c:v>7.6</c:v>
              </c:pt>
              <c:pt idx="15">
                <c:v>7.6</c:v>
              </c:pt>
              <c:pt idx="16">
                <c:v>7.6</c:v>
              </c:pt>
              <c:pt idx="17">
                <c:v>7.6</c:v>
              </c:pt>
              <c:pt idx="18">
                <c:v>7.6</c:v>
              </c:pt>
              <c:pt idx="19">
                <c:v>7.6</c:v>
              </c:pt>
              <c:pt idx="20">
                <c:v>7.6</c:v>
              </c:pt>
              <c:pt idx="21">
                <c:v>7.6</c:v>
              </c:pt>
              <c:pt idx="22">
                <c:v>6.4</c:v>
              </c:pt>
              <c:pt idx="23">
                <c:v>6.4</c:v>
              </c:pt>
              <c:pt idx="24">
                <c:v>6.4</c:v>
              </c:pt>
              <c:pt idx="25">
                <c:v>6.4</c:v>
              </c:pt>
              <c:pt idx="26">
                <c:v>4.2</c:v>
              </c:pt>
              <c:pt idx="27">
                <c:v>4.2</c:v>
              </c:pt>
              <c:pt idx="28">
                <c:v>4.2</c:v>
              </c:pt>
              <c:pt idx="29">
                <c:v>4.2</c:v>
              </c:pt>
              <c:pt idx="30">
                <c:v>4.2</c:v>
              </c:pt>
              <c:pt idx="31">
                <c:v>4.2</c:v>
              </c:pt>
              <c:pt idx="32">
                <c:v>4.2</c:v>
              </c:pt>
              <c:pt idx="33">
                <c:v>4.2</c:v>
              </c:pt>
              <c:pt idx="34">
                <c:v>4.2</c:v>
              </c:pt>
              <c:pt idx="35">
                <c:v>4.2</c:v>
              </c:pt>
              <c:pt idx="36">
                <c:v>4.2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C33-4022-BA35-CFF3648C8817}"/>
            </c:ext>
          </c:extLst>
        </c:ser>
        <c:ser>
          <c:idx val="23"/>
          <c:order val="23"/>
          <c:tx>
            <c:v>#REF!</c:v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4.88</c:v>
              </c:pt>
              <c:pt idx="2">
                <c:v>4.9775999999999998</c:v>
              </c:pt>
              <c:pt idx="3">
                <c:v>5.0771519999999999</c:v>
              </c:pt>
              <c:pt idx="4">
                <c:v>5.17869504</c:v>
              </c:pt>
              <c:pt idx="5">
                <c:v>5.2822689407999999</c:v>
              </c:pt>
              <c:pt idx="6">
                <c:v>5.3879143196159998</c:v>
              </c:pt>
              <c:pt idx="7">
                <c:v>5.4956726060083199</c:v>
              </c:pt>
              <c:pt idx="8">
                <c:v>5.6055860581284866</c:v>
              </c:pt>
              <c:pt idx="9">
                <c:v>5.7176977792910568</c:v>
              </c:pt>
              <c:pt idx="10">
                <c:v>5.8320517348768783</c:v>
              </c:pt>
              <c:pt idx="11">
                <c:v>5.9486927695744161</c:v>
              </c:pt>
              <c:pt idx="12">
                <c:v>6.0676666249659048</c:v>
              </c:pt>
              <c:pt idx="13">
                <c:v>6.1890199574652227</c:v>
              </c:pt>
              <c:pt idx="14">
                <c:v>6.3128003566145274</c:v>
              </c:pt>
              <c:pt idx="15">
                <c:v>6.4390563637468183</c:v>
              </c:pt>
              <c:pt idx="16">
                <c:v>6.5678374910217547</c:v>
              </c:pt>
              <c:pt idx="17">
                <c:v>6.6991942408421901</c:v>
              </c:pt>
              <c:pt idx="18">
                <c:v>6.8331781256590336</c:v>
              </c:pt>
              <c:pt idx="19">
                <c:v>6.9698416881722141</c:v>
              </c:pt>
              <c:pt idx="20">
                <c:v>7.1092385219356586</c:v>
              </c:pt>
              <c:pt idx="21">
                <c:v>7.2514232923743718</c:v>
              </c:pt>
              <c:pt idx="22">
                <c:v>7.3964517582218594</c:v>
              </c:pt>
              <c:pt idx="23">
                <c:v>7.5443807933862965</c:v>
              </c:pt>
              <c:pt idx="24">
                <c:v>7.6952684092540222</c:v>
              </c:pt>
              <c:pt idx="25">
                <c:v>7.8491737774391028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DC33-4022-BA35-CFF3648C8817}"/>
            </c:ext>
          </c:extLst>
        </c:ser>
        <c:ser>
          <c:idx val="24"/>
          <c:order val="24"/>
          <c:tx>
            <c:v>#REF!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3.8</c:v>
              </c:pt>
              <c:pt idx="2">
                <c:v>3.8759999999999999</c:v>
              </c:pt>
              <c:pt idx="3">
                <c:v>3.9535200000000001</c:v>
              </c:pt>
              <c:pt idx="4">
                <c:v>4.0325904000000001</c:v>
              </c:pt>
              <c:pt idx="5">
                <c:v>4.113242208</c:v>
              </c:pt>
              <c:pt idx="6">
                <c:v>4.19550705216</c:v>
              </c:pt>
              <c:pt idx="7">
                <c:v>4.2794171932031997</c:v>
              </c:pt>
              <c:pt idx="8">
                <c:v>4.3650055370672636</c:v>
              </c:pt>
              <c:pt idx="9">
                <c:v>4.4523056478086085</c:v>
              </c:pt>
              <c:pt idx="10">
                <c:v>4.5413517607647806</c:v>
              </c:pt>
              <c:pt idx="11">
                <c:v>4.6321787959800762</c:v>
              </c:pt>
              <c:pt idx="12">
                <c:v>4.7248223718996778</c:v>
              </c:pt>
              <c:pt idx="13">
                <c:v>4.8193188193376715</c:v>
              </c:pt>
              <c:pt idx="14">
                <c:v>4.9157051957244251</c:v>
              </c:pt>
              <c:pt idx="15">
                <c:v>5.0140192996389139</c:v>
              </c:pt>
              <c:pt idx="16">
                <c:v>5.1142996856316927</c:v>
              </c:pt>
              <c:pt idx="17">
                <c:v>5.2165856793443268</c:v>
              </c:pt>
              <c:pt idx="18">
                <c:v>5.3209173929312135</c:v>
              </c:pt>
              <c:pt idx="19">
                <c:v>5.4273357407898377</c:v>
              </c:pt>
              <c:pt idx="20">
                <c:v>5.535882455605635</c:v>
              </c:pt>
              <c:pt idx="21">
                <c:v>5.6466001047177476</c:v>
              </c:pt>
              <c:pt idx="22">
                <c:v>5.7595321068121024</c:v>
              </c:pt>
              <c:pt idx="23">
                <c:v>5.8747227489483445</c:v>
              </c:pt>
              <c:pt idx="24">
                <c:v>5.9922172039273116</c:v>
              </c:pt>
              <c:pt idx="25">
                <c:v>6.1120615480058582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DC33-4022-BA35-CFF3648C8817}"/>
            </c:ext>
          </c:extLst>
        </c:ser>
        <c:ser>
          <c:idx val="25"/>
          <c:order val="25"/>
          <c:tx>
            <c:v>#REF!</c:v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13</c:v>
              </c:pt>
              <c:pt idx="2">
                <c:v>13.26</c:v>
              </c:pt>
              <c:pt idx="3">
                <c:v>13.5252</c:v>
              </c:pt>
              <c:pt idx="4">
                <c:v>13.795704000000001</c:v>
              </c:pt>
              <c:pt idx="5">
                <c:v>14.07161808</c:v>
              </c:pt>
              <c:pt idx="6">
                <c:v>7.1765252208000003</c:v>
              </c:pt>
              <c:pt idx="7">
                <c:v>7.3200557252160001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DC33-4022-BA35-CFF3648C8817}"/>
            </c:ext>
          </c:extLst>
        </c:ser>
        <c:ser>
          <c:idx val="26"/>
          <c:order val="26"/>
          <c:tx>
            <c:v>#REF!</c:v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12</c:v>
              </c:pt>
              <c:pt idx="2">
                <c:v>12</c:v>
              </c:pt>
              <c:pt idx="3">
                <c:v>12</c:v>
              </c:pt>
              <c:pt idx="4">
                <c:v>12</c:v>
              </c:pt>
              <c:pt idx="5">
                <c:v>12</c:v>
              </c:pt>
              <c:pt idx="6">
                <c:v>12</c:v>
              </c:pt>
              <c:pt idx="7">
                <c:v>12</c:v>
              </c:pt>
              <c:pt idx="8">
                <c:v>12</c:v>
              </c:pt>
              <c:pt idx="9">
                <c:v>12</c:v>
              </c:pt>
              <c:pt idx="10">
                <c:v>12</c:v>
              </c:pt>
              <c:pt idx="11">
                <c:v>24</c:v>
              </c:pt>
              <c:pt idx="12">
                <c:v>24</c:v>
              </c:pt>
              <c:pt idx="13">
                <c:v>24</c:v>
              </c:pt>
              <c:pt idx="14">
                <c:v>24</c:v>
              </c:pt>
              <c:pt idx="15">
                <c:v>24</c:v>
              </c:pt>
              <c:pt idx="16">
                <c:v>24</c:v>
              </c:pt>
              <c:pt idx="17">
                <c:v>24</c:v>
              </c:pt>
              <c:pt idx="18">
                <c:v>24</c:v>
              </c:pt>
              <c:pt idx="19">
                <c:v>24</c:v>
              </c:pt>
              <c:pt idx="20">
                <c:v>24</c:v>
              </c:pt>
              <c:pt idx="21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DC33-4022-BA35-CFF3648C8817}"/>
            </c:ext>
          </c:extLst>
        </c:ser>
        <c:ser>
          <c:idx val="27"/>
          <c:order val="27"/>
          <c:tx>
            <c:v>#REF!</c:v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1">
                <c:v>6.2</c:v>
              </c:pt>
              <c:pt idx="2">
                <c:v>6.3240000000000007</c:v>
              </c:pt>
              <c:pt idx="3">
                <c:v>6.4504800000000007</c:v>
              </c:pt>
              <c:pt idx="4">
                <c:v>6.5794896000000005</c:v>
              </c:pt>
              <c:pt idx="5">
                <c:v>6.7110793920000003</c:v>
              </c:pt>
              <c:pt idx="6">
                <c:v>6.8453009798400002</c:v>
              </c:pt>
              <c:pt idx="7">
                <c:v>6.9822069994368006</c:v>
              </c:pt>
              <c:pt idx="8">
                <c:v>7.1218511394255364</c:v>
              </c:pt>
              <c:pt idx="9">
                <c:v>7.2642881622140472</c:v>
              </c:pt>
              <c:pt idx="10">
                <c:v>7.4095739254583286</c:v>
              </c:pt>
              <c:pt idx="11">
                <c:v>7.5577654039674957</c:v>
              </c:pt>
              <c:pt idx="12">
                <c:v>7.7089207120468455</c:v>
              </c:pt>
              <c:pt idx="13">
                <c:v>7.863099126287783</c:v>
              </c:pt>
              <c:pt idx="14">
                <c:v>8.0203611088135389</c:v>
              </c:pt>
              <c:pt idx="15">
                <c:v>8.1807683309898103</c:v>
              </c:pt>
              <c:pt idx="16">
                <c:v>8.3443836976096062</c:v>
              </c:pt>
              <c:pt idx="17">
                <c:v>8.5112713715617989</c:v>
              </c:pt>
              <c:pt idx="18">
                <c:v>8.6814967989930345</c:v>
              </c:pt>
              <c:pt idx="19">
                <c:v>8.8551267349728953</c:v>
              </c:pt>
              <c:pt idx="20">
                <c:v>9.032229269672353</c:v>
              </c:pt>
              <c:pt idx="21">
                <c:v>9.2128738550657996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DC33-4022-BA35-CFF3648C8817}"/>
            </c:ext>
          </c:extLst>
        </c:ser>
        <c:ser>
          <c:idx val="28"/>
          <c:order val="28"/>
          <c:tx>
            <c:v>#REF!</c:v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26">
                <c:v>118.12363160146052</c:v>
              </c:pt>
              <c:pt idx="27">
                <c:v>120.48610423348973</c:v>
              </c:pt>
              <c:pt idx="28">
                <c:v>122.89582631815952</c:v>
              </c:pt>
              <c:pt idx="29">
                <c:v>125.35374284452271</c:v>
              </c:pt>
              <c:pt idx="30">
                <c:v>127.86081770141317</c:v>
              </c:pt>
              <c:pt idx="31">
                <c:v>130.41803405544144</c:v>
              </c:pt>
              <c:pt idx="32">
                <c:v>133.02639473655026</c:v>
              </c:pt>
              <c:pt idx="33">
                <c:v>135.68692263128128</c:v>
              </c:pt>
              <c:pt idx="34">
                <c:v>138.4006610839069</c:v>
              </c:pt>
              <c:pt idx="35">
                <c:v>141.16867430558503</c:v>
              </c:pt>
              <c:pt idx="36">
                <c:v>143.99204779169673</c:v>
              </c:pt>
              <c:pt idx="37">
                <c:v>146.87188874753068</c:v>
              </c:pt>
              <c:pt idx="38">
                <c:v>149.80932652248129</c:v>
              </c:pt>
              <c:pt idx="39">
                <c:v>152.80551305293091</c:v>
              </c:pt>
              <c:pt idx="40">
                <c:v>155.86162331398953</c:v>
              </c:pt>
              <c:pt idx="41">
                <c:v>158.97885578026933</c:v>
              </c:pt>
              <c:pt idx="42">
                <c:v>162.15843289587471</c:v>
              </c:pt>
              <c:pt idx="43">
                <c:v>165.4016015537922</c:v>
              </c:pt>
              <c:pt idx="44">
                <c:v>168.70963358486804</c:v>
              </c:pt>
              <c:pt idx="45">
                <c:v>172.0838262565654</c:v>
              </c:pt>
              <c:pt idx="46">
                <c:v>175.5255027816967</c:v>
              </c:pt>
              <c:pt idx="47">
                <c:v>179.03601283733065</c:v>
              </c:pt>
              <c:pt idx="48">
                <c:v>182.61673309407726</c:v>
              </c:pt>
              <c:pt idx="49">
                <c:v>186.26906775595882</c:v>
              </c:pt>
              <c:pt idx="50">
                <c:v>189.99444911107798</c:v>
              </c:pt>
              <c:pt idx="51">
                <c:v>193.79433809329956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DC33-4022-BA35-CFF3648C8817}"/>
            </c:ext>
          </c:extLst>
        </c:ser>
        <c:ser>
          <c:idx val="29"/>
          <c:order val="29"/>
          <c:tx>
            <c:v>#REF!</c:v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0">
                <c:v>0</c:v>
              </c:pt>
              <c:pt idx="5">
                <c:v>21.648643199999999</c:v>
              </c:pt>
              <c:pt idx="6">
                <c:v>27.602020079999999</c:v>
              </c:pt>
              <c:pt idx="7">
                <c:v>28.154060481600002</c:v>
              </c:pt>
              <c:pt idx="8">
                <c:v>57.434283382463988</c:v>
              </c:pt>
              <c:pt idx="9">
                <c:v>82.01615667015858</c:v>
              </c:pt>
              <c:pt idx="10">
                <c:v>29.877314215557771</c:v>
              </c:pt>
              <c:pt idx="11">
                <c:v>30.474860499868928</c:v>
              </c:pt>
              <c:pt idx="12">
                <c:v>90.552464131765731</c:v>
              </c:pt>
              <c:pt idx="21">
                <c:v>104.0163177184848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DC33-4022-BA35-CFF3648C8817}"/>
            </c:ext>
          </c:extLst>
        </c:ser>
        <c:ser>
          <c:idx val="30"/>
          <c:order val="30"/>
          <c:tx>
            <c:v>省吃
儉用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Lit>
              <c:formatCode>General</c:formatCode>
              <c:ptCount val="52"/>
              <c:pt idx="2">
                <c:v>-5</c:v>
              </c:pt>
              <c:pt idx="3">
                <c:v>-5</c:v>
              </c:pt>
              <c:pt idx="4">
                <c:v>-5</c:v>
              </c:pt>
              <c:pt idx="5">
                <c:v>-5</c:v>
              </c:pt>
              <c:pt idx="6">
                <c:v>-5</c:v>
              </c:pt>
              <c:pt idx="7">
                <c:v>-5</c:v>
              </c:pt>
              <c:pt idx="8">
                <c:v>-5</c:v>
              </c:pt>
              <c:pt idx="9">
                <c:v>-5</c:v>
              </c:pt>
              <c:pt idx="10">
                <c:v>-5</c:v>
              </c:pt>
              <c:pt idx="11">
                <c:v>-5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DC33-4022-BA35-CFF3648C8817}"/>
            </c:ext>
          </c:extLst>
        </c:ser>
        <c:ser>
          <c:idx val="31"/>
          <c:order val="31"/>
          <c:tx>
            <c:strRef>
              <c:f>測試_投資報酬增加!$AO$1</c:f>
              <c:strCache>
                <c:ptCount val="1"/>
                <c:pt idx="0">
                  <c:v>支出
合計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測試_投資報酬增加!$AO$4:$AO$53</c:f>
              <c:numCache>
                <c:formatCode>0</c:formatCode>
                <c:ptCount val="50"/>
                <c:pt idx="0">
                  <c:v>139.6336</c:v>
                </c:pt>
                <c:pt idx="1">
                  <c:v>141.03067200000001</c:v>
                </c:pt>
                <c:pt idx="2">
                  <c:v>142.65168543999999</c:v>
                </c:pt>
                <c:pt idx="3">
                  <c:v>165.74576234879999</c:v>
                </c:pt>
                <c:pt idx="4">
                  <c:v>147.29969581273599</c:v>
                </c:pt>
                <c:pt idx="5">
                  <c:v>150.16879037487871</c:v>
                </c:pt>
                <c:pt idx="6">
                  <c:v>166.00174272828704</c:v>
                </c:pt>
                <c:pt idx="7">
                  <c:v>192.09136520289812</c:v>
                </c:pt>
                <c:pt idx="8">
                  <c:v>141.2764269189521</c:v>
                </c:pt>
                <c:pt idx="9">
                  <c:v>155.01435545733113</c:v>
                </c:pt>
                <c:pt idx="10">
                  <c:v>212.03288644423714</c:v>
                </c:pt>
                <c:pt idx="11">
                  <c:v>126.90939436110368</c:v>
                </c:pt>
                <c:pt idx="12">
                  <c:v>128.11598224832576</c:v>
                </c:pt>
                <c:pt idx="13">
                  <c:v>129.24070189329228</c:v>
                </c:pt>
                <c:pt idx="14">
                  <c:v>130.48391593115812</c:v>
                </c:pt>
                <c:pt idx="15">
                  <c:v>93.245994249781305</c:v>
                </c:pt>
                <c:pt idx="16">
                  <c:v>94.52731413477693</c:v>
                </c:pt>
                <c:pt idx="17">
                  <c:v>96.314311386304482</c:v>
                </c:pt>
                <c:pt idx="18">
                  <c:v>97.644997614030558</c:v>
                </c:pt>
                <c:pt idx="19">
                  <c:v>203.01261528479597</c:v>
                </c:pt>
                <c:pt idx="20">
                  <c:v>65.771492185470265</c:v>
                </c:pt>
                <c:pt idx="21">
                  <c:v>66.977322029179689</c:v>
                </c:pt>
                <c:pt idx="22">
                  <c:v>68.201268469763278</c:v>
                </c:pt>
                <c:pt idx="23">
                  <c:v>69.677419969462534</c:v>
                </c:pt>
                <c:pt idx="24">
                  <c:v>122.32363160146052</c:v>
                </c:pt>
                <c:pt idx="25">
                  <c:v>124.68610423348973</c:v>
                </c:pt>
                <c:pt idx="26">
                  <c:v>127.09582631815952</c:v>
                </c:pt>
                <c:pt idx="27">
                  <c:v>129.5537428445227</c:v>
                </c:pt>
                <c:pt idx="28">
                  <c:v>132.06081770141316</c:v>
                </c:pt>
                <c:pt idx="29">
                  <c:v>134.61803405544143</c:v>
                </c:pt>
                <c:pt idx="30">
                  <c:v>137.22639473655025</c:v>
                </c:pt>
                <c:pt idx="31">
                  <c:v>139.88692263128127</c:v>
                </c:pt>
                <c:pt idx="32">
                  <c:v>142.60066108390689</c:v>
                </c:pt>
                <c:pt idx="33">
                  <c:v>145.36867430558502</c:v>
                </c:pt>
                <c:pt idx="34">
                  <c:v>148.19204779169672</c:v>
                </c:pt>
                <c:pt idx="35">
                  <c:v>146.87188874753068</c:v>
                </c:pt>
                <c:pt idx="36">
                  <c:v>149.80932652248129</c:v>
                </c:pt>
                <c:pt idx="37">
                  <c:v>152.80551305293091</c:v>
                </c:pt>
                <c:pt idx="38">
                  <c:v>155.86162331398953</c:v>
                </c:pt>
                <c:pt idx="39">
                  <c:v>158.97885578026933</c:v>
                </c:pt>
                <c:pt idx="40">
                  <c:v>162.15843289587471</c:v>
                </c:pt>
                <c:pt idx="41">
                  <c:v>165.4016015537922</c:v>
                </c:pt>
                <c:pt idx="42">
                  <c:v>168.70963358486804</c:v>
                </c:pt>
                <c:pt idx="43">
                  <c:v>172.0838262565654</c:v>
                </c:pt>
                <c:pt idx="44">
                  <c:v>175.5255027816967</c:v>
                </c:pt>
                <c:pt idx="45">
                  <c:v>179.03601283733065</c:v>
                </c:pt>
                <c:pt idx="46">
                  <c:v>182.61673309407726</c:v>
                </c:pt>
                <c:pt idx="47">
                  <c:v>186.26906775595882</c:v>
                </c:pt>
                <c:pt idx="48">
                  <c:v>189.99444911107798</c:v>
                </c:pt>
                <c:pt idx="49">
                  <c:v>193.79433809329956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C33-4022-BA35-CFF3648C8817}"/>
            </c:ext>
          </c:extLst>
        </c:ser>
        <c:ser>
          <c:idx val="33"/>
          <c:order val="33"/>
          <c:tx>
            <c:strRef>
              <c:f>測試_投資報酬增加!$AQ$1</c:f>
              <c:strCache>
                <c:ptCount val="1"/>
                <c:pt idx="0">
                  <c:v>期末生息
資產(2%)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測試_投資報酬增加!$AQ$4:$AQ$53</c:f>
              <c:numCache>
                <c:formatCode>0</c:formatCode>
                <c:ptCount val="50"/>
                <c:pt idx="0">
                  <c:v>62.586399999999998</c:v>
                </c:pt>
                <c:pt idx="1">
                  <c:v>71.13118399999999</c:v>
                </c:pt>
                <c:pt idx="2">
                  <c:v>80.481301919999993</c:v>
                </c:pt>
                <c:pt idx="3">
                  <c:v>69.229025927999999</c:v>
                </c:pt>
                <c:pt idx="4">
                  <c:v>78.124102749583983</c:v>
                </c:pt>
                <c:pt idx="5">
                  <c:v>86.566587761765277</c:v>
                </c:pt>
                <c:pt idx="6">
                  <c:v>81.859332512245174</c:v>
                </c:pt>
                <c:pt idx="7">
                  <c:v>53.130207361729248</c:v>
                </c:pt>
                <c:pt idx="8">
                  <c:v>76.35901319144898</c:v>
                </c:pt>
                <c:pt idx="9">
                  <c:v>89.10794757600766</c:v>
                </c:pt>
                <c:pt idx="10">
                  <c:v>47.714604349981954</c:v>
                </c:pt>
                <c:pt idx="11">
                  <c:v>94.28477839915395</c:v>
                </c:pt>
                <c:pt idx="12">
                  <c:v>141.86281403996469</c:v>
                </c:pt>
                <c:pt idx="13">
                  <c:v>192.70170564094076</c:v>
                </c:pt>
                <c:pt idx="14">
                  <c:v>246.85348214762382</c:v>
                </c:pt>
                <c:pt idx="15">
                  <c:v>342.97258995768431</c:v>
                </c:pt>
                <c:pt idx="16">
                  <c:v>444.25999538889442</c:v>
                </c:pt>
                <c:pt idx="17">
                  <c:v>550.45900038282571</c:v>
                </c:pt>
                <c:pt idx="18">
                  <c:v>662.2653738005049</c:v>
                </c:pt>
                <c:pt idx="19">
                  <c:v>675.91023318608131</c:v>
                </c:pt>
                <c:pt idx="20">
                  <c:v>830.12038760721725</c:v>
                </c:pt>
                <c:pt idx="21">
                  <c:v>992.11681387718068</c:v>
                </c:pt>
                <c:pt idx="22">
                  <c:v>1162.2389680910653</c:v>
                </c:pt>
                <c:pt idx="23">
                  <c:v>1340.6066150409647</c:v>
                </c:pt>
                <c:pt idx="24">
                  <c:v>1610.3354741505204</c:v>
                </c:pt>
                <c:pt idx="25">
                  <c:v>1631.6323005717547</c:v>
                </c:pt>
                <c:pt idx="26">
                  <c:v>1652.4194746081794</c:v>
                </c:pt>
                <c:pt idx="27">
                  <c:v>1672.6680914338335</c:v>
                </c:pt>
                <c:pt idx="28">
                  <c:v>1692.3482938906716</c:v>
                </c:pt>
                <c:pt idx="29">
                  <c:v>1711.4292459572107</c:v>
                </c:pt>
                <c:pt idx="30">
                  <c:v>1729.8791055368563</c:v>
                </c:pt>
                <c:pt idx="31">
                  <c:v>1747.6649965493059</c:v>
                </c:pt>
                <c:pt idx="32">
                  <c:v>1764.7529803080399</c:v>
                </c:pt>
                <c:pt idx="33">
                  <c:v>1781.1080261665047</c:v>
                </c:pt>
                <c:pt idx="34">
                  <c:v>1796.693981415186</c:v>
                </c:pt>
                <c:pt idx="35">
                  <c:v>1815.6735404113492</c:v>
                </c:pt>
                <c:pt idx="36">
                  <c:v>1833.892212922794</c:v>
                </c:pt>
                <c:pt idx="37">
                  <c:v>1851.3119716665331</c:v>
                </c:pt>
                <c:pt idx="38">
                  <c:v>1867.8935726228538</c:v>
                </c:pt>
                <c:pt idx="39">
                  <c:v>1883.5965215767617</c:v>
                </c:pt>
                <c:pt idx="40">
                  <c:v>1898.3790398077781</c:v>
                </c:pt>
                <c:pt idx="41">
                  <c:v>1912.1980289074054</c:v>
                </c:pt>
                <c:pt idx="42">
                  <c:v>1925.0090347030959</c:v>
                </c:pt>
                <c:pt idx="43">
                  <c:v>1936.7662102670522</c:v>
                </c:pt>
                <c:pt idx="44">
                  <c:v>1907.352715387743</c:v>
                </c:pt>
                <c:pt idx="45">
                  <c:v>1875.9879742291548</c:v>
                </c:pt>
                <c:pt idx="46">
                  <c:v>1842.6057023380679</c:v>
                </c:pt>
                <c:pt idx="47">
                  <c:v>1807.1377443816459</c:v>
                </c:pt>
                <c:pt idx="48">
                  <c:v>1769.5140258260317</c:v>
                </c:pt>
                <c:pt idx="49">
                  <c:v>1729.6625034304402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C33-4022-BA35-CFF3648C8817}"/>
            </c:ext>
          </c:extLst>
        </c:ser>
        <c:ser>
          <c:idx val="34"/>
          <c:order val="34"/>
          <c:tx>
            <c:strRef>
              <c:f>測試_投資報酬增加!$AR$1</c:f>
              <c:strCache>
                <c:ptCount val="1"/>
                <c:pt idx="0">
                  <c:v>期末生息
資產(4%)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測試_投資報酬增加!$E$4:$E$53</c:f>
              <c:numCache>
                <c:formatCode>General</c:formatCode>
                <c:ptCount val="5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cat>
          <c:val>
            <c:numRef>
              <c:f>測試_投資報酬增加!$AR$4:$AR$53</c:f>
              <c:numCache>
                <c:formatCode>0</c:formatCode>
                <c:ptCount val="50"/>
                <c:pt idx="0">
                  <c:v>63.68640000000002</c:v>
                </c:pt>
                <c:pt idx="1">
                  <c:v>73.548912000000001</c:v>
                </c:pt>
                <c:pt idx="2">
                  <c:v>84.466717280000012</c:v>
                </c:pt>
                <c:pt idx="3">
                  <c:v>75.063192248000036</c:v>
                </c:pt>
                <c:pt idx="4">
                  <c:v>85.692899567344028</c:v>
                </c:pt>
                <c:pt idx="5">
                  <c:v>96.276958553565976</c:v>
                </c:pt>
                <c:pt idx="6">
                  <c:v>93.883657306789218</c:v>
                </c:pt>
                <c:pt idx="7">
                  <c:v>67.513178294190851</c:v>
                </c:pt>
                <c:pt idx="8">
                  <c:v>92.667566527092873</c:v>
                </c:pt>
                <c:pt idx="9">
                  <c:v>107.92219437561914</c:v>
                </c:pt>
                <c:pt idx="10">
                  <c:v>69.439864909090261</c:v>
                </c:pt>
                <c:pt idx="11">
                  <c:v>116.17643085280768</c:v>
                </c:pt>
                <c:pt idx="12">
                  <c:v>166.95366120882071</c:v>
                </c:pt>
                <c:pt idx="13">
                  <c:v>222.13525992072744</c:v>
                </c:pt>
                <c:pt idx="14">
                  <c:v>281.90708379701653</c:v>
                </c:pt>
                <c:pt idx="15">
                  <c:v>385.06647734899303</c:v>
                </c:pt>
                <c:pt idx="16">
                  <c:v>495.73896782283532</c:v>
                </c:pt>
                <c:pt idx="17">
                  <c:v>613.91191107058103</c:v>
                </c:pt>
                <c:pt idx="18">
                  <c:v>740.53463913718213</c:v>
                </c:pt>
                <c:pt idx="19">
                  <c:v>772.12096191896933</c:v>
                </c:pt>
                <c:pt idx="20">
                  <c:v>945.62196472780022</c:v>
                </c:pt>
                <c:pt idx="21">
                  <c:v>1131.1508933771429</c:v>
                </c:pt>
                <c:pt idx="22">
                  <c:v>1329.4574286385687</c:v>
                </c:pt>
                <c:pt idx="23">
                  <c:v>1541.1029625831395</c:v>
                </c:pt>
                <c:pt idx="24">
                  <c:v>1845.6638078952014</c:v>
                </c:pt>
                <c:pt idx="25">
                  <c:v>1908.5804771492335</c:v>
                </c:pt>
                <c:pt idx="26">
                  <c:v>1973.0782242601924</c:v>
                </c:pt>
                <c:pt idx="27">
                  <c:v>2039.2015805640908</c:v>
                </c:pt>
                <c:pt idx="28">
                  <c:v>2106.9964844148158</c:v>
                </c:pt>
                <c:pt idx="29">
                  <c:v>2176.510329980134</c:v>
                </c:pt>
                <c:pt idx="30">
                  <c:v>2247.7920178398404</c:v>
                </c:pt>
                <c:pt idx="31">
                  <c:v>2320.8920074551465</c:v>
                </c:pt>
                <c:pt idx="32">
                  <c:v>2395.8623715811004</c:v>
                </c:pt>
                <c:pt idx="33">
                  <c:v>2472.7568526966484</c:v>
                </c:pt>
                <c:pt idx="34">
                  <c:v>2551.6309215298652</c:v>
                </c:pt>
                <c:pt idx="35">
                  <c:v>2636.7418377589192</c:v>
                </c:pt>
                <c:pt idx="36">
                  <c:v>2724.116712972494</c:v>
                </c:pt>
                <c:pt idx="37">
                  <c:v>2813.8232959766769</c:v>
                </c:pt>
                <c:pt idx="38">
                  <c:v>2905.9315893387338</c:v>
                </c:pt>
                <c:pt idx="39">
                  <c:v>3000.5139304137338</c:v>
                </c:pt>
                <c:pt idx="40">
                  <c:v>3097.6450754297643</c:v>
                </c:pt>
                <c:pt idx="41">
                  <c:v>3197.4022867504268</c:v>
                </c:pt>
                <c:pt idx="42">
                  <c:v>3299.865423437986</c:v>
                </c:pt>
                <c:pt idx="43">
                  <c:v>3405.1170352454001</c:v>
                </c:pt>
                <c:pt idx="44">
                  <c:v>3473.172897570566</c:v>
                </c:pt>
                <c:pt idx="45">
                  <c:v>3542.5880180070453</c:v>
                </c:pt>
                <c:pt idx="46">
                  <c:v>3613.3895073516574</c:v>
                </c:pt>
                <c:pt idx="47">
                  <c:v>3685.6050156425399</c:v>
                </c:pt>
                <c:pt idx="48">
                  <c:v>3759.2627428249943</c:v>
                </c:pt>
                <c:pt idx="49">
                  <c:v>3834.3914496258817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C33-4022-BA35-CFF3648C8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869439"/>
        <c:axId val="40945188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期初
生息資產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2">
                      <c:v>55</c:v>
                    </c:pt>
                    <c:pt idx="3">
                      <c:v>62.586399999999998</c:v>
                    </c:pt>
                    <c:pt idx="4">
                      <c:v>71.13118399999999</c:v>
                    </c:pt>
                    <c:pt idx="5">
                      <c:v>80.481301919999993</c:v>
                    </c:pt>
                    <c:pt idx="6">
                      <c:v>69.229025927999999</c:v>
                    </c:pt>
                    <c:pt idx="7">
                      <c:v>78.124102749583983</c:v>
                    </c:pt>
                    <c:pt idx="8">
                      <c:v>86.566587761765277</c:v>
                    </c:pt>
                    <c:pt idx="9">
                      <c:v>81.859332512245174</c:v>
                    </c:pt>
                    <c:pt idx="10">
                      <c:v>53.130207361729248</c:v>
                    </c:pt>
                    <c:pt idx="11">
                      <c:v>76.35901319144898</c:v>
                    </c:pt>
                    <c:pt idx="12">
                      <c:v>89.10794757600766</c:v>
                    </c:pt>
                    <c:pt idx="13">
                      <c:v>44.198341805841892</c:v>
                    </c:pt>
                    <c:pt idx="14">
                      <c:v>90.768515855013888</c:v>
                    </c:pt>
                    <c:pt idx="15">
                      <c:v>138.20590099405899</c:v>
                    </c:pt>
                    <c:pt idx="16">
                      <c:v>188.89851607319883</c:v>
                    </c:pt>
                    <c:pt idx="17">
                      <c:v>242.89816499717224</c:v>
                    </c:pt>
                    <c:pt idx="18">
                      <c:v>338.85906012121467</c:v>
                    </c:pt>
                    <c:pt idx="19">
                      <c:v>439.98192435896601</c:v>
                    </c:pt>
                    <c:pt idx="20">
                      <c:v>546.00980651170016</c:v>
                    </c:pt>
                    <c:pt idx="21">
                      <c:v>657.63821217453437</c:v>
                    </c:pt>
                    <c:pt idx="22">
                      <c:v>671.09798509507198</c:v>
                    </c:pt>
                    <c:pt idx="23">
                      <c:v>825.11564959256748</c:v>
                    </c:pt>
                    <c:pt idx="24">
                      <c:v>986.91188634194486</c:v>
                    </c:pt>
                    <c:pt idx="25">
                      <c:v>1156.82584345442</c:v>
                    </c:pt>
                    <c:pt idx="26">
                      <c:v>1334.9769654188535</c:v>
                    </c:pt>
                    <c:pt idx="27">
                      <c:v>1604.5932315359669</c:v>
                    </c:pt>
                    <c:pt idx="28">
                      <c:v>1625.7752131049101</c:v>
                    </c:pt>
                    <c:pt idx="29">
                      <c:v>1646.4452453919978</c:v>
                    </c:pt>
                    <c:pt idx="30">
                      <c:v>1666.5743776333281</c:v>
                    </c:pt>
                    <c:pt idx="31">
                      <c:v>1686.132705814156</c:v>
                    </c:pt>
                    <c:pt idx="32">
                      <c:v>1705.0893461191649</c:v>
                    </c:pt>
                    <c:pt idx="33">
                      <c:v>1723.4124077020497</c:v>
                    </c:pt>
                    <c:pt idx="34">
                      <c:v>1741.0689647578033</c:v>
                    </c:pt>
                    <c:pt idx="35">
                      <c:v>1758.0250278807073</c:v>
                    </c:pt>
                    <c:pt idx="36">
                      <c:v>1774.2455146906254</c:v>
                    </c:pt>
                    <c:pt idx="37">
                      <c:v>1789.6942197097892</c:v>
                    </c:pt>
                    <c:pt idx="38">
                      <c:v>1808.5337834718443</c:v>
                    </c:pt>
                    <c:pt idx="39">
                      <c:v>1826.6096608444989</c:v>
                    </c:pt>
                    <c:pt idx="40">
                      <c:v>1843.8837685466719</c:v>
                    </c:pt>
                    <c:pt idx="41">
                      <c:v>1860.3168054405953</c:v>
                    </c:pt>
                    <c:pt idx="42">
                      <c:v>1875.8682190508582</c:v>
                    </c:pt>
                    <c:pt idx="43">
                      <c:v>1890.4961712313564</c:v>
                    </c:pt>
                    <c:pt idx="44">
                      <c:v>1904.1575029594553</c:v>
                    </c:pt>
                    <c:pt idx="45">
                      <c:v>1916.8076982361868</c:v>
                    </c:pt>
                    <c:pt idx="46">
                      <c:v>1928.400847070805</c:v>
                    </c:pt>
                    <c:pt idx="47">
                      <c:v>1898.820044927571</c:v>
                    </c:pt>
                    <c:pt idx="48">
                      <c:v>1867.2846503597793</c:v>
                    </c:pt>
                    <c:pt idx="49">
                      <c:v>1833.728311991305</c:v>
                    </c:pt>
                    <c:pt idx="50">
                      <c:v>1798.0828062279477</c:v>
                    </c:pt>
                    <c:pt idx="51">
                      <c:v>1760.2779889092596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14-DC33-4022-BA35-CFF3648C881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新期初
生息資產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2">
                      <c:v>55</c:v>
                    </c:pt>
                    <c:pt idx="3">
                      <c:v>63.68640000000002</c:v>
                    </c:pt>
                    <c:pt idx="4">
                      <c:v>73.548912000000001</c:v>
                    </c:pt>
                    <c:pt idx="5">
                      <c:v>84.466717280000012</c:v>
                    </c:pt>
                    <c:pt idx="6">
                      <c:v>75.063192248000036</c:v>
                    </c:pt>
                    <c:pt idx="7">
                      <c:v>85.692899567344028</c:v>
                    </c:pt>
                    <c:pt idx="8">
                      <c:v>96.276958553565976</c:v>
                    </c:pt>
                    <c:pt idx="9">
                      <c:v>93.883657306789218</c:v>
                    </c:pt>
                    <c:pt idx="10">
                      <c:v>67.513178294190851</c:v>
                    </c:pt>
                    <c:pt idx="11">
                      <c:v>92.667566527092873</c:v>
                    </c:pt>
                    <c:pt idx="12">
                      <c:v>107.92219437561914</c:v>
                    </c:pt>
                    <c:pt idx="13">
                      <c:v>65.923602364950199</c:v>
                    </c:pt>
                    <c:pt idx="14">
                      <c:v>112.44919255601921</c:v>
                    </c:pt>
                    <c:pt idx="15">
                      <c:v>163.00278861422495</c:v>
                    </c:pt>
                    <c:pt idx="16">
                      <c:v>217.94733497045593</c:v>
                    </c:pt>
                    <c:pt idx="17">
                      <c:v>277.46788334972871</c:v>
                    </c:pt>
                    <c:pt idx="18">
                      <c:v>380.36092487486798</c:v>
                    </c:pt>
                    <c:pt idx="19">
                      <c:v>490.75108220026277</c:v>
                    </c:pt>
                    <c:pt idx="20">
                      <c:v>608.62475231065412</c:v>
                    </c:pt>
                    <c:pt idx="21">
                      <c:v>734.93025085165959</c:v>
                    </c:pt>
                    <c:pt idx="22">
                      <c:v>766.18031033631542</c:v>
                    </c:pt>
                    <c:pt idx="23">
                      <c:v>939.32487405018708</c:v>
                    </c:pt>
                    <c:pt idx="24">
                      <c:v>1124.4759772588729</c:v>
                    </c:pt>
                    <c:pt idx="25">
                      <c:v>1322.3820175532026</c:v>
                    </c:pt>
                    <c:pt idx="26">
                      <c:v>1533.6030268326515</c:v>
                    </c:pt>
                    <c:pt idx="27">
                      <c:v>1837.863874714694</c:v>
                    </c:pt>
                    <c:pt idx="28">
                      <c:v>1900.4685466415058</c:v>
                    </c:pt>
                    <c:pt idx="29">
                      <c:v>1964.6418165321559</c:v>
                    </c:pt>
                    <c:pt idx="30">
                      <c:v>2030.4277165269327</c:v>
                    </c:pt>
                    <c:pt idx="31">
                      <c:v>2097.8716658161716</c:v>
                    </c:pt>
                    <c:pt idx="32">
                      <c:v>2167.0205186375442</c:v>
                    </c:pt>
                    <c:pt idx="33">
                      <c:v>2237.9226140435471</c:v>
                    </c:pt>
                    <c:pt idx="34">
                      <c:v>2310.6278275070017</c:v>
                    </c:pt>
                    <c:pt idx="35">
                      <c:v>2385.1876244350301</c:v>
                    </c:pt>
                    <c:pt idx="36">
                      <c:v>2461.6551156647351</c:v>
                    </c:pt>
                    <c:pt idx="37">
                      <c:v>2540.0851150166754</c:v>
                    </c:pt>
                    <c:pt idx="38">
                      <c:v>2624.7341989852021</c:v>
                    </c:pt>
                    <c:pt idx="39">
                      <c:v>2711.6287686478281</c:v>
                    </c:pt>
                    <c:pt idx="40">
                      <c:v>2800.8358338790244</c:v>
                    </c:pt>
                    <c:pt idx="41">
                      <c:v>2892.4246287571755</c:v>
                    </c:pt>
                    <c:pt idx="42">
                      <c:v>2986.4666914089134</c:v>
                    </c:pt>
                    <c:pt idx="43">
                      <c:v>3083.0359468647512</c:v>
                    </c:pt>
                    <c:pt idx="44">
                      <c:v>3182.2087930428129</c:v>
                    </c:pt>
                    <c:pt idx="45">
                      <c:v>3284.0641899820675</c:v>
                    </c:pt>
                    <c:pt idx="46">
                      <c:v>3388.6837524512448</c:v>
                    </c:pt>
                    <c:pt idx="47">
                      <c:v>3456.0822834646447</c:v>
                    </c:pt>
                    <c:pt idx="48">
                      <c:v>3524.8137793368869</c:v>
                    </c:pt>
                    <c:pt idx="49">
                      <c:v>3594.9042991346923</c:v>
                    </c:pt>
                    <c:pt idx="50">
                      <c:v>3666.3803990968963</c:v>
                    </c:pt>
                    <c:pt idx="51">
                      <c:v>3739.2691416175248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C33-4022-BA35-CFF3648C881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投資
報酬率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2">
                      <c:v>0.04</c:v>
                    </c:pt>
                    <c:pt idx="3">
                      <c:v>0.04</c:v>
                    </c:pt>
                    <c:pt idx="4">
                      <c:v>0.04</c:v>
                    </c:pt>
                    <c:pt idx="5">
                      <c:v>0.04</c:v>
                    </c:pt>
                    <c:pt idx="6">
                      <c:v>0.04</c:v>
                    </c:pt>
                    <c:pt idx="7">
                      <c:v>0.04</c:v>
                    </c:pt>
                    <c:pt idx="8">
                      <c:v>0.04</c:v>
                    </c:pt>
                    <c:pt idx="9">
                      <c:v>0.04</c:v>
                    </c:pt>
                    <c:pt idx="10">
                      <c:v>0.04</c:v>
                    </c:pt>
                    <c:pt idx="11">
                      <c:v>0.04</c:v>
                    </c:pt>
                    <c:pt idx="12">
                      <c:v>0.04</c:v>
                    </c:pt>
                    <c:pt idx="13">
                      <c:v>0.04</c:v>
                    </c:pt>
                    <c:pt idx="14">
                      <c:v>0.04</c:v>
                    </c:pt>
                    <c:pt idx="15">
                      <c:v>0.04</c:v>
                    </c:pt>
                    <c:pt idx="16">
                      <c:v>0.04</c:v>
                    </c:pt>
                    <c:pt idx="17">
                      <c:v>0.04</c:v>
                    </c:pt>
                    <c:pt idx="18">
                      <c:v>0.04</c:v>
                    </c:pt>
                    <c:pt idx="19">
                      <c:v>0.04</c:v>
                    </c:pt>
                    <c:pt idx="20">
                      <c:v>0.04</c:v>
                    </c:pt>
                    <c:pt idx="21">
                      <c:v>0.04</c:v>
                    </c:pt>
                    <c:pt idx="22">
                      <c:v>0.04</c:v>
                    </c:pt>
                    <c:pt idx="23">
                      <c:v>0.04</c:v>
                    </c:pt>
                    <c:pt idx="24">
                      <c:v>0.04</c:v>
                    </c:pt>
                    <c:pt idx="25">
                      <c:v>0.04</c:v>
                    </c:pt>
                    <c:pt idx="26">
                      <c:v>0.02</c:v>
                    </c:pt>
                    <c:pt idx="27">
                      <c:v>0.02</c:v>
                    </c:pt>
                    <c:pt idx="28">
                      <c:v>0.02</c:v>
                    </c:pt>
                    <c:pt idx="29">
                      <c:v>0.02</c:v>
                    </c:pt>
                    <c:pt idx="30">
                      <c:v>0.02</c:v>
                    </c:pt>
                    <c:pt idx="31">
                      <c:v>0.02</c:v>
                    </c:pt>
                    <c:pt idx="32">
                      <c:v>0.02</c:v>
                    </c:pt>
                    <c:pt idx="33">
                      <c:v>0.02</c:v>
                    </c:pt>
                    <c:pt idx="34">
                      <c:v>0.02</c:v>
                    </c:pt>
                    <c:pt idx="35">
                      <c:v>0.02</c:v>
                    </c:pt>
                    <c:pt idx="36">
                      <c:v>0.02</c:v>
                    </c:pt>
                    <c:pt idx="37">
                      <c:v>0.02</c:v>
                    </c:pt>
                    <c:pt idx="38">
                      <c:v>0.02</c:v>
                    </c:pt>
                    <c:pt idx="39">
                      <c:v>0.02</c:v>
                    </c:pt>
                    <c:pt idx="40">
                      <c:v>0.02</c:v>
                    </c:pt>
                    <c:pt idx="41">
                      <c:v>0.02</c:v>
                    </c:pt>
                    <c:pt idx="42">
                      <c:v>0.02</c:v>
                    </c:pt>
                    <c:pt idx="43">
                      <c:v>0.02</c:v>
                    </c:pt>
                    <c:pt idx="44">
                      <c:v>0.02</c:v>
                    </c:pt>
                    <c:pt idx="45">
                      <c:v>0.02</c:v>
                    </c:pt>
                    <c:pt idx="46">
                      <c:v>0.02</c:v>
                    </c:pt>
                    <c:pt idx="47">
                      <c:v>0.02</c:v>
                    </c:pt>
                    <c:pt idx="48">
                      <c:v>0.02</c:v>
                    </c:pt>
                    <c:pt idx="49">
                      <c:v>0.02</c:v>
                    </c:pt>
                    <c:pt idx="50">
                      <c:v>0.02</c:v>
                    </c:pt>
                    <c:pt idx="51">
                      <c:v>0.02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C33-4022-BA35-CFF3648C881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新投資
報酬率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2">
                      <c:v>0.06</c:v>
                    </c:pt>
                    <c:pt idx="3">
                      <c:v>0.06</c:v>
                    </c:pt>
                    <c:pt idx="4">
                      <c:v>0.06</c:v>
                    </c:pt>
                    <c:pt idx="5">
                      <c:v>0.06</c:v>
                    </c:pt>
                    <c:pt idx="6">
                      <c:v>0.06</c:v>
                    </c:pt>
                    <c:pt idx="7">
                      <c:v>0.06</c:v>
                    </c:pt>
                    <c:pt idx="8">
                      <c:v>0.06</c:v>
                    </c:pt>
                    <c:pt idx="9">
                      <c:v>0.06</c:v>
                    </c:pt>
                    <c:pt idx="10">
                      <c:v>0.06</c:v>
                    </c:pt>
                    <c:pt idx="11">
                      <c:v>0.06</c:v>
                    </c:pt>
                    <c:pt idx="12">
                      <c:v>0.06</c:v>
                    </c:pt>
                    <c:pt idx="13">
                      <c:v>0.06</c:v>
                    </c:pt>
                    <c:pt idx="14">
                      <c:v>0.06</c:v>
                    </c:pt>
                    <c:pt idx="15">
                      <c:v>0.06</c:v>
                    </c:pt>
                    <c:pt idx="16">
                      <c:v>0.06</c:v>
                    </c:pt>
                    <c:pt idx="17">
                      <c:v>0.06</c:v>
                    </c:pt>
                    <c:pt idx="18">
                      <c:v>0.06</c:v>
                    </c:pt>
                    <c:pt idx="19">
                      <c:v>0.06</c:v>
                    </c:pt>
                    <c:pt idx="20">
                      <c:v>0.06</c:v>
                    </c:pt>
                    <c:pt idx="21">
                      <c:v>0.06</c:v>
                    </c:pt>
                    <c:pt idx="22">
                      <c:v>0.06</c:v>
                    </c:pt>
                    <c:pt idx="23">
                      <c:v>0.06</c:v>
                    </c:pt>
                    <c:pt idx="24">
                      <c:v>0.06</c:v>
                    </c:pt>
                    <c:pt idx="25">
                      <c:v>0.06</c:v>
                    </c:pt>
                    <c:pt idx="26">
                      <c:v>0.04</c:v>
                    </c:pt>
                    <c:pt idx="27">
                      <c:v>0.04</c:v>
                    </c:pt>
                    <c:pt idx="28">
                      <c:v>0.04</c:v>
                    </c:pt>
                    <c:pt idx="29">
                      <c:v>0.04</c:v>
                    </c:pt>
                    <c:pt idx="30">
                      <c:v>0.04</c:v>
                    </c:pt>
                    <c:pt idx="31">
                      <c:v>0.04</c:v>
                    </c:pt>
                    <c:pt idx="32">
                      <c:v>0.04</c:v>
                    </c:pt>
                    <c:pt idx="33">
                      <c:v>0.04</c:v>
                    </c:pt>
                    <c:pt idx="34">
                      <c:v>0.04</c:v>
                    </c:pt>
                    <c:pt idx="35">
                      <c:v>0.04</c:v>
                    </c:pt>
                    <c:pt idx="36">
                      <c:v>0.04</c:v>
                    </c:pt>
                    <c:pt idx="37">
                      <c:v>0.04</c:v>
                    </c:pt>
                    <c:pt idx="38">
                      <c:v>0.04</c:v>
                    </c:pt>
                    <c:pt idx="39">
                      <c:v>0.04</c:v>
                    </c:pt>
                    <c:pt idx="40">
                      <c:v>0.04</c:v>
                    </c:pt>
                    <c:pt idx="41">
                      <c:v>0.04</c:v>
                    </c:pt>
                    <c:pt idx="42">
                      <c:v>0.04</c:v>
                    </c:pt>
                    <c:pt idx="43">
                      <c:v>0.04</c:v>
                    </c:pt>
                    <c:pt idx="44">
                      <c:v>0.04</c:v>
                    </c:pt>
                    <c:pt idx="45">
                      <c:v>0.04</c:v>
                    </c:pt>
                    <c:pt idx="46">
                      <c:v>0.04</c:v>
                    </c:pt>
                    <c:pt idx="47">
                      <c:v>0.04</c:v>
                    </c:pt>
                    <c:pt idx="48">
                      <c:v>0.04</c:v>
                    </c:pt>
                    <c:pt idx="49">
                      <c:v>0.04</c:v>
                    </c:pt>
                    <c:pt idx="50">
                      <c:v>0.04</c:v>
                    </c:pt>
                    <c:pt idx="51">
                      <c:v>0.04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C33-4022-BA35-CFF3648C881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薪資收入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0">
                      <c:v>0</c:v>
                    </c:pt>
                    <c:pt idx="1">
                      <c:v>54</c:v>
                    </c:pt>
                    <c:pt idx="2">
                      <c:v>55.08</c:v>
                    </c:pt>
                    <c:pt idx="3">
                      <c:v>56.181599999999996</c:v>
                    </c:pt>
                    <c:pt idx="4">
                      <c:v>57.305231999999997</c:v>
                    </c:pt>
                    <c:pt idx="5">
                      <c:v>58.451336640000001</c:v>
                    </c:pt>
                    <c:pt idx="6">
                      <c:v>59.6203633728</c:v>
                    </c:pt>
                    <c:pt idx="7">
                      <c:v>60.812770640255998</c:v>
                    </c:pt>
                    <c:pt idx="8">
                      <c:v>62.029026053061116</c:v>
                    </c:pt>
                    <c:pt idx="9">
                      <c:v>63.269606574122342</c:v>
                    </c:pt>
                    <c:pt idx="10">
                      <c:v>64.534998705604792</c:v>
                    </c:pt>
                    <c:pt idx="11">
                      <c:v>65.825698679716893</c:v>
                    </c:pt>
                    <c:pt idx="12">
                      <c:v>67.142212653311233</c:v>
                    </c:pt>
                    <c:pt idx="13">
                      <c:v>68.485056906377466</c:v>
                    </c:pt>
                    <c:pt idx="14">
                      <c:v>69.854758044505019</c:v>
                    </c:pt>
                    <c:pt idx="15">
                      <c:v>71.251853205395122</c:v>
                    </c:pt>
                    <c:pt idx="16">
                      <c:v>72.676890269503019</c:v>
                    </c:pt>
                    <c:pt idx="17">
                      <c:v>74.130428074893075</c:v>
                    </c:pt>
                    <c:pt idx="18">
                      <c:v>75.613036636390945</c:v>
                    </c:pt>
                    <c:pt idx="19">
                      <c:v>77.125297369118769</c:v>
                    </c:pt>
                    <c:pt idx="20">
                      <c:v>78.66780331650115</c:v>
                    </c:pt>
                    <c:pt idx="21">
                      <c:v>80.241159382831171</c:v>
                    </c:pt>
                    <c:pt idx="22">
                      <c:v>81.845982570487791</c:v>
                    </c:pt>
                    <c:pt idx="23">
                      <c:v>83.482902221897547</c:v>
                    </c:pt>
                    <c:pt idx="24">
                      <c:v>85.152560266335499</c:v>
                    </c:pt>
                    <c:pt idx="25">
                      <c:v>86.855611471662215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C33-4022-BA35-CFF3648C881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#REF!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0">
                      <c:v>0</c:v>
                    </c:pt>
                    <c:pt idx="1">
                      <c:v>84</c:v>
                    </c:pt>
                    <c:pt idx="2">
                      <c:v>84.84</c:v>
                    </c:pt>
                    <c:pt idx="3">
                      <c:v>85.688400000000001</c:v>
                    </c:pt>
                    <c:pt idx="4">
                      <c:v>86.545283999999995</c:v>
                    </c:pt>
                    <c:pt idx="5">
                      <c:v>87.410736839999998</c:v>
                    </c:pt>
                    <c:pt idx="6">
                      <c:v>88.284844208400003</c:v>
                    </c:pt>
                    <c:pt idx="7">
                      <c:v>89.167692650484</c:v>
                    </c:pt>
                    <c:pt idx="8">
                      <c:v>90.059369576988843</c:v>
                    </c:pt>
                    <c:pt idx="9">
                      <c:v>90.959963272758728</c:v>
                    </c:pt>
                    <c:pt idx="10">
                      <c:v>91.869562905486319</c:v>
                    </c:pt>
                    <c:pt idx="11">
                      <c:v>92.788258534541185</c:v>
                    </c:pt>
                    <c:pt idx="12">
                      <c:v>93.716141119886601</c:v>
                    </c:pt>
                    <c:pt idx="13">
                      <c:v>94.653302531085473</c:v>
                    </c:pt>
                    <c:pt idx="14">
                      <c:v>95.599835556396329</c:v>
                    </c:pt>
                    <c:pt idx="15">
                      <c:v>96.555833911960292</c:v>
                    </c:pt>
                    <c:pt idx="16">
                      <c:v>97.521392251079902</c:v>
                    </c:pt>
                    <c:pt idx="17">
                      <c:v>98.496606173590706</c:v>
                    </c:pt>
                    <c:pt idx="18">
                      <c:v>99.48157223532661</c:v>
                    </c:pt>
                    <c:pt idx="19">
                      <c:v>100.47638795767988</c:v>
                    </c:pt>
                    <c:pt idx="20">
                      <c:v>101.48115183725668</c:v>
                    </c:pt>
                    <c:pt idx="21">
                      <c:v>102.49596335562924</c:v>
                    </c:pt>
                    <c:pt idx="22">
                      <c:v>103.52092298918554</c:v>
                    </c:pt>
                    <c:pt idx="23">
                      <c:v>104.5561322190774</c:v>
                    </c:pt>
                    <c:pt idx="24">
                      <c:v>105.60169354126818</c:v>
                    </c:pt>
                    <c:pt idx="25">
                      <c:v>106.65771047668086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C33-4022-BA35-CFF3648C881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投資
收入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1">
                      <c:v>2</c:v>
                    </c:pt>
                    <c:pt idx="2">
                      <c:v>2.2000000000000002</c:v>
                    </c:pt>
                    <c:pt idx="3">
                      <c:v>2.5034559999999999</c:v>
                    </c:pt>
                    <c:pt idx="4">
                      <c:v>2.8452473599999997</c:v>
                    </c:pt>
                    <c:pt idx="5">
                      <c:v>3.2192520767999997</c:v>
                    </c:pt>
                    <c:pt idx="6">
                      <c:v>2.7691610371199999</c:v>
                    </c:pt>
                    <c:pt idx="7">
                      <c:v>3</c:v>
                    </c:pt>
                    <c:pt idx="8">
                      <c:v>3.4626635104706112</c:v>
                    </c:pt>
                    <c:pt idx="9">
                      <c:v>3.274373300489807</c:v>
                    </c:pt>
                    <c:pt idx="10">
                      <c:v>2.1252082944691701</c:v>
                    </c:pt>
                    <c:pt idx="11">
                      <c:v>3.0543605276579591</c:v>
                    </c:pt>
                    <c:pt idx="12">
                      <c:v>3.5643179030403065</c:v>
                    </c:pt>
                    <c:pt idx="13">
                      <c:v>4</c:v>
                    </c:pt>
                    <c:pt idx="14">
                      <c:v>3.6307406342005555</c:v>
                    </c:pt>
                    <c:pt idx="15">
                      <c:v>5.5282360397623602</c:v>
                    </c:pt>
                    <c:pt idx="16">
                      <c:v>7.5559406429279532</c:v>
                    </c:pt>
                    <c:pt idx="17">
                      <c:v>9.71592659988689</c:v>
                    </c:pt>
                    <c:pt idx="18">
                      <c:v>13.554362404848588</c:v>
                    </c:pt>
                    <c:pt idx="19">
                      <c:v>17.599276974358641</c:v>
                    </c:pt>
                    <c:pt idx="20">
                      <c:v>21.840392260468008</c:v>
                    </c:pt>
                    <c:pt idx="21">
                      <c:v>26.305528486981377</c:v>
                    </c:pt>
                    <c:pt idx="22">
                      <c:v>26.843919403802879</c:v>
                    </c:pt>
                    <c:pt idx="23">
                      <c:v>33.004625983702702</c:v>
                    </c:pt>
                    <c:pt idx="24">
                      <c:v>39.476475453677793</c:v>
                    </c:pt>
                    <c:pt idx="25">
                      <c:v>46.2730337381768</c:v>
                    </c:pt>
                    <c:pt idx="26">
                      <c:v>26.699539308377069</c:v>
                    </c:pt>
                    <c:pt idx="27">
                      <c:v>32.091864630719336</c:v>
                    </c:pt>
                    <c:pt idx="28">
                      <c:v>32.515504262098204</c:v>
                    </c:pt>
                    <c:pt idx="29">
                      <c:v>32.928904907839957</c:v>
                    </c:pt>
                    <c:pt idx="30">
                      <c:v>33.331487552666566</c:v>
                    </c:pt>
                    <c:pt idx="31">
                      <c:v>33.722654116283124</c:v>
                    </c:pt>
                    <c:pt idx="32">
                      <c:v>34.101786922383297</c:v>
                    </c:pt>
                    <c:pt idx="33">
                      <c:v>34.468248154040992</c:v>
                    </c:pt>
                    <c:pt idx="34">
                      <c:v>34.821379295156071</c:v>
                    </c:pt>
                    <c:pt idx="35">
                      <c:v>35.160500557614149</c:v>
                    </c:pt>
                    <c:pt idx="36">
                      <c:v>35.484910293812511</c:v>
                    </c:pt>
                    <c:pt idx="37">
                      <c:v>35.793884394195786</c:v>
                    </c:pt>
                    <c:pt idx="38">
                      <c:v>36.170675669436889</c:v>
                    </c:pt>
                    <c:pt idx="39">
                      <c:v>36.532193216889979</c:v>
                    </c:pt>
                    <c:pt idx="40">
                      <c:v>36.877675370933439</c:v>
                    </c:pt>
                    <c:pt idx="41">
                      <c:v>37.206336108811904</c:v>
                    </c:pt>
                    <c:pt idx="42">
                      <c:v>37.517364381017167</c:v>
                    </c:pt>
                    <c:pt idx="43">
                      <c:v>37.809923424627129</c:v>
                    </c:pt>
                    <c:pt idx="44">
                      <c:v>38.083150059189109</c:v>
                    </c:pt>
                    <c:pt idx="45">
                      <c:v>38.336153964723735</c:v>
                    </c:pt>
                    <c:pt idx="46">
                      <c:v>38.568016941416097</c:v>
                    </c:pt>
                    <c:pt idx="47">
                      <c:v>37.976400898551418</c:v>
                    </c:pt>
                    <c:pt idx="48">
                      <c:v>37.345693007195585</c:v>
                    </c:pt>
                    <c:pt idx="49">
                      <c:v>36.674566239826099</c:v>
                    </c:pt>
                    <c:pt idx="50">
                      <c:v>35.961656124558957</c:v>
                    </c:pt>
                    <c:pt idx="51">
                      <c:v>35.205559778185197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C33-4022-BA35-CFF3648C881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租金
收入</c:v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1">
                      <c:v>5</c:v>
                    </c:pt>
                    <c:pt idx="2">
                      <c:v>5.0999999999999996</c:v>
                    </c:pt>
                    <c:pt idx="3">
                      <c:v>5.202</c:v>
                    </c:pt>
                    <c:pt idx="4">
                      <c:v>5.3060400000000003</c:v>
                    </c:pt>
                    <c:pt idx="5">
                      <c:v>5.4121608000000005</c:v>
                    </c:pt>
                    <c:pt idx="6">
                      <c:v>5.5204040160000005</c:v>
                    </c:pt>
                    <c:pt idx="7">
                      <c:v>5.6308120963200006</c:v>
                    </c:pt>
                    <c:pt idx="8">
                      <c:v>5.7434283382464004</c:v>
                    </c:pt>
                    <c:pt idx="9">
                      <c:v>5.8582969050113283</c:v>
                    </c:pt>
                    <c:pt idx="10">
                      <c:v>5.9754628431115551</c:v>
                    </c:pt>
                    <c:pt idx="11">
                      <c:v>6.094972099973786</c:v>
                    </c:pt>
                    <c:pt idx="12">
                      <c:v>6.2168715419732621</c:v>
                    </c:pt>
                    <c:pt idx="13">
                      <c:v>6.3412089728127272</c:v>
                    </c:pt>
                    <c:pt idx="14">
                      <c:v>6.4680331522689816</c:v>
                    </c:pt>
                    <c:pt idx="15">
                      <c:v>6.5973938153143612</c:v>
                    </c:pt>
                    <c:pt idx="16">
                      <c:v>6.7293416916206485</c:v>
                    </c:pt>
                    <c:pt idx="17">
                      <c:v>6.863928525453062</c:v>
                    </c:pt>
                    <c:pt idx="18">
                      <c:v>7.0012070959621235</c:v>
                    </c:pt>
                    <c:pt idx="19">
                      <c:v>7.1412312378813665</c:v>
                    </c:pt>
                    <c:pt idx="20">
                      <c:v>7.2840558626389935</c:v>
                    </c:pt>
                    <c:pt idx="21">
                      <c:v>7.4297369798917732</c:v>
                    </c:pt>
                    <c:pt idx="22">
                      <c:v>7.5783317194896087</c:v>
                    </c:pt>
                    <c:pt idx="23">
                      <c:v>7.7298983538794008</c:v>
                    </c:pt>
                    <c:pt idx="24">
                      <c:v>7.8844963209569894</c:v>
                    </c:pt>
                    <c:pt idx="25">
                      <c:v>8.0421862473761294</c:v>
                    </c:pt>
                    <c:pt idx="26">
                      <c:v>8.2030299723236517</c:v>
                    </c:pt>
                    <c:pt idx="27">
                      <c:v>8.3670905717701256</c:v>
                    </c:pt>
                    <c:pt idx="28">
                      <c:v>8.5344323832055284</c:v>
                    </c:pt>
                    <c:pt idx="29">
                      <c:v>8.7051210308696394</c:v>
                    </c:pt>
                    <c:pt idx="30">
                      <c:v>8.8792234514870323</c:v>
                    </c:pt>
                    <c:pt idx="31">
                      <c:v>9.0568079205167731</c:v>
                    </c:pt>
                    <c:pt idx="32">
                      <c:v>9.237944078927109</c:v>
                    </c:pt>
                    <c:pt idx="33">
                      <c:v>9.4227029605056511</c:v>
                    </c:pt>
                    <c:pt idx="34">
                      <c:v>9.6111570197157636</c:v>
                    </c:pt>
                    <c:pt idx="35">
                      <c:v>9.8033801601100787</c:v>
                    </c:pt>
                    <c:pt idx="36">
                      <c:v>9.9994477633122809</c:v>
                    </c:pt>
                    <c:pt idx="37">
                      <c:v>10.199436718578527</c:v>
                    </c:pt>
                    <c:pt idx="38">
                      <c:v>10.403425452950097</c:v>
                    </c:pt>
                    <c:pt idx="39">
                      <c:v>10.611493962009099</c:v>
                    </c:pt>
                    <c:pt idx="40">
                      <c:v>10.823723841249281</c:v>
                    </c:pt>
                    <c:pt idx="41">
                      <c:v>11.040198318074268</c:v>
                    </c:pt>
                    <c:pt idx="42">
                      <c:v>11.261002284435753</c:v>
                    </c:pt>
                    <c:pt idx="43">
                      <c:v>11.486222330124468</c:v>
                    </c:pt>
                    <c:pt idx="44">
                      <c:v>11.715946776726957</c:v>
                    </c:pt>
                    <c:pt idx="45">
                      <c:v>11.950265712261496</c:v>
                    </c:pt>
                    <c:pt idx="46">
                      <c:v>12.189271026506725</c:v>
                    </c:pt>
                    <c:pt idx="47">
                      <c:v>12.43305644703686</c:v>
                    </c:pt>
                    <c:pt idx="48">
                      <c:v>12.681717575977597</c:v>
                    </c:pt>
                    <c:pt idx="49">
                      <c:v>12.93535192749715</c:v>
                    </c:pt>
                    <c:pt idx="50">
                      <c:v>13.194058966047093</c:v>
                    </c:pt>
                    <c:pt idx="51">
                      <c:v>13.457940145368035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C33-4022-BA35-CFF3648C881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勞保
(金鳳)</c:v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26">
                      <c:v>34.927080000000004</c:v>
                    </c:pt>
                    <c:pt idx="27">
                      <c:v>35.625621600000002</c:v>
                    </c:pt>
                    <c:pt idx="28">
                      <c:v>36.338134032000006</c:v>
                    </c:pt>
                    <c:pt idx="29">
                      <c:v>37.064896712640007</c:v>
                    </c:pt>
                    <c:pt idx="30">
                      <c:v>37.806194646892806</c:v>
                    </c:pt>
                    <c:pt idx="31">
                      <c:v>38.562318539830663</c:v>
                    </c:pt>
                    <c:pt idx="32">
                      <c:v>39.333564910627274</c:v>
                    </c:pt>
                    <c:pt idx="33">
                      <c:v>40.12023620883982</c:v>
                    </c:pt>
                    <c:pt idx="34">
                      <c:v>40.922640933016616</c:v>
                    </c:pt>
                    <c:pt idx="35">
                      <c:v>41.741093751676949</c:v>
                    </c:pt>
                    <c:pt idx="36">
                      <c:v>42.57591562671049</c:v>
                    </c:pt>
                    <c:pt idx="37">
                      <c:v>43.4274339392447</c:v>
                    </c:pt>
                    <c:pt idx="38">
                      <c:v>44.295982618029598</c:v>
                    </c:pt>
                    <c:pt idx="39">
                      <c:v>45.181902270390189</c:v>
                    </c:pt>
                    <c:pt idx="40">
                      <c:v>46.085540315797992</c:v>
                    </c:pt>
                    <c:pt idx="41">
                      <c:v>47.007251122113949</c:v>
                    </c:pt>
                    <c:pt idx="42">
                      <c:v>47.94739614455623</c:v>
                    </c:pt>
                    <c:pt idx="43">
                      <c:v>48.906344067447357</c:v>
                    </c:pt>
                    <c:pt idx="44">
                      <c:v>49.884470948796306</c:v>
                    </c:pt>
                    <c:pt idx="45">
                      <c:v>50.882160367772229</c:v>
                    </c:pt>
                    <c:pt idx="46">
                      <c:v>51.899803575127677</c:v>
                    </c:pt>
                    <c:pt idx="47">
                      <c:v>52.937799646630232</c:v>
                    </c:pt>
                    <c:pt idx="48">
                      <c:v>53.996555639562835</c:v>
                    </c:pt>
                    <c:pt idx="49">
                      <c:v>55.076486752354093</c:v>
                    </c:pt>
                    <c:pt idx="50">
                      <c:v>56.178016487401173</c:v>
                    </c:pt>
                    <c:pt idx="51">
                      <c:v>57.301576817149197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C33-4022-BA35-CFF3648C881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勞保
(阿進)</c:v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26">
                      <c:v>29.131319999999995</c:v>
                    </c:pt>
                    <c:pt idx="27">
                      <c:v>29.713946399999994</c:v>
                    </c:pt>
                    <c:pt idx="28">
                      <c:v>30.308225327999995</c:v>
                    </c:pt>
                    <c:pt idx="29">
                      <c:v>30.914389834559994</c:v>
                    </c:pt>
                    <c:pt idx="30">
                      <c:v>31.532677631251193</c:v>
                    </c:pt>
                    <c:pt idx="31">
                      <c:v>32.163331183876217</c:v>
                    </c:pt>
                    <c:pt idx="32">
                      <c:v>32.806597807553743</c:v>
                    </c:pt>
                    <c:pt idx="33">
                      <c:v>33.462729763704822</c:v>
                    </c:pt>
                    <c:pt idx="34">
                      <c:v>34.131984358978919</c:v>
                    </c:pt>
                    <c:pt idx="35">
                      <c:v>34.814624046158499</c:v>
                    </c:pt>
                    <c:pt idx="36">
                      <c:v>35.510916527081669</c:v>
                    </c:pt>
                    <c:pt idx="37">
                      <c:v>36.221134857623305</c:v>
                    </c:pt>
                    <c:pt idx="38">
                      <c:v>36.945557554775775</c:v>
                    </c:pt>
                    <c:pt idx="39">
                      <c:v>37.684468705871289</c:v>
                    </c:pt>
                    <c:pt idx="40">
                      <c:v>38.438158079988717</c:v>
                    </c:pt>
                    <c:pt idx="41">
                      <c:v>39.206921241588489</c:v>
                    </c:pt>
                    <c:pt idx="42">
                      <c:v>39.991059666420263</c:v>
                    </c:pt>
                    <c:pt idx="43">
                      <c:v>40.790880859748668</c:v>
                    </c:pt>
                    <c:pt idx="44">
                      <c:v>41.606698476943642</c:v>
                    </c:pt>
                    <c:pt idx="45">
                      <c:v>42.438832446482515</c:v>
                    </c:pt>
                    <c:pt idx="46">
                      <c:v>43.287609095412165</c:v>
                    </c:pt>
                    <c:pt idx="47">
                      <c:v>44.153361277320407</c:v>
                    </c:pt>
                    <c:pt idx="48">
                      <c:v>45.036428502866819</c:v>
                    </c:pt>
                    <c:pt idx="49">
                      <c:v>45.937157072924158</c:v>
                    </c:pt>
                    <c:pt idx="50">
                      <c:v>46.855900214382643</c:v>
                    </c:pt>
                    <c:pt idx="51">
                      <c:v>47.793018218670298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C33-4022-BA35-CFF3648C8817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勞退
(金鳳)</c:v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26">
                      <c:v>21.421294804000734</c:v>
                    </c:pt>
                    <c:pt idx="27">
                      <c:v>21.421294804000734</c:v>
                    </c:pt>
                    <c:pt idx="28">
                      <c:v>21.421294804000734</c:v>
                    </c:pt>
                    <c:pt idx="29">
                      <c:v>21.421294804000734</c:v>
                    </c:pt>
                    <c:pt idx="30">
                      <c:v>21.421294804000734</c:v>
                    </c:pt>
                    <c:pt idx="31">
                      <c:v>21.421294804000734</c:v>
                    </c:pt>
                    <c:pt idx="32">
                      <c:v>21.421294804000734</c:v>
                    </c:pt>
                    <c:pt idx="33">
                      <c:v>21.421294804000734</c:v>
                    </c:pt>
                    <c:pt idx="34">
                      <c:v>21.421294804000734</c:v>
                    </c:pt>
                    <c:pt idx="35">
                      <c:v>21.421294804000734</c:v>
                    </c:pt>
                    <c:pt idx="36">
                      <c:v>21.421294804000734</c:v>
                    </c:pt>
                    <c:pt idx="37">
                      <c:v>21.421294804000734</c:v>
                    </c:pt>
                    <c:pt idx="38">
                      <c:v>21.421294804000734</c:v>
                    </c:pt>
                    <c:pt idx="39">
                      <c:v>21.421294804000734</c:v>
                    </c:pt>
                    <c:pt idx="40">
                      <c:v>21.421294804000734</c:v>
                    </c:pt>
                    <c:pt idx="41">
                      <c:v>21.421294804000734</c:v>
                    </c:pt>
                    <c:pt idx="42">
                      <c:v>21.421294804000734</c:v>
                    </c:pt>
                    <c:pt idx="43">
                      <c:v>21.421294804000734</c:v>
                    </c:pt>
                    <c:pt idx="44">
                      <c:v>21.421294804000734</c:v>
                    </c:pt>
                    <c:pt idx="45">
                      <c:v>21.421294804000734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C33-4022-BA35-CFF3648C881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v>勞退
(阿進)</c:v>
                </c:tx>
                <c:spPr>
                  <a:ln w="38100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26">
                      <c:v>18.648267795942825</c:v>
                    </c:pt>
                    <c:pt idx="27">
                      <c:v>18.648267795942825</c:v>
                    </c:pt>
                    <c:pt idx="28">
                      <c:v>18.648267795942825</c:v>
                    </c:pt>
                    <c:pt idx="29">
                      <c:v>18.648267795942825</c:v>
                    </c:pt>
                    <c:pt idx="30">
                      <c:v>18.648267795942825</c:v>
                    </c:pt>
                    <c:pt idx="31">
                      <c:v>18.648267795942825</c:v>
                    </c:pt>
                    <c:pt idx="32">
                      <c:v>18.648267795942825</c:v>
                    </c:pt>
                    <c:pt idx="33">
                      <c:v>18.648267795942825</c:v>
                    </c:pt>
                    <c:pt idx="34">
                      <c:v>18.648267795942825</c:v>
                    </c:pt>
                    <c:pt idx="35">
                      <c:v>18.648267795942825</c:v>
                    </c:pt>
                    <c:pt idx="36">
                      <c:v>18.648267795942825</c:v>
                    </c:pt>
                    <c:pt idx="37">
                      <c:v>18.648267795942825</c:v>
                    </c:pt>
                    <c:pt idx="38">
                      <c:v>18.648267795942825</c:v>
                    </c:pt>
                    <c:pt idx="39">
                      <c:v>18.648267795942825</c:v>
                    </c:pt>
                    <c:pt idx="40">
                      <c:v>18.648267795942825</c:v>
                    </c:pt>
                    <c:pt idx="41">
                      <c:v>18.648267795942825</c:v>
                    </c:pt>
                    <c:pt idx="42">
                      <c:v>18.648267795942825</c:v>
                    </c:pt>
                    <c:pt idx="43">
                      <c:v>18.648267795942825</c:v>
                    </c:pt>
                    <c:pt idx="44">
                      <c:v>18.648267795942825</c:v>
                    </c:pt>
                    <c:pt idx="45">
                      <c:v>18.648267795942825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C33-4022-BA35-CFF3648C8817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v>保單
解約</c:v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26">
                      <c:v>252.90936583792964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C33-4022-BA35-CFF3648C8817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v>新收入</c:v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0">
                      <c:v>0</c:v>
                    </c:pt>
                    <c:pt idx="1">
                      <c:v>145</c:v>
                    </c:pt>
                    <c:pt idx="2">
                      <c:v>148.32000000000002</c:v>
                    </c:pt>
                    <c:pt idx="3">
                      <c:v>150.89318399999999</c:v>
                    </c:pt>
                    <c:pt idx="4">
                      <c:v>153.56949072</c:v>
                    </c:pt>
                    <c:pt idx="5">
                      <c:v>156.34223731680001</c:v>
                    </c:pt>
                    <c:pt idx="6">
                      <c:v>157.92940313207998</c:v>
                    </c:pt>
                    <c:pt idx="7">
                      <c:v>160.75284936110066</c:v>
                    </c:pt>
                    <c:pt idx="8">
                      <c:v>163.60844148151028</c:v>
                    </c:pt>
                    <c:pt idx="9">
                      <c:v>165.72088619029975</c:v>
                    </c:pt>
                    <c:pt idx="10">
                      <c:v>166.43081515185412</c:v>
                    </c:pt>
                    <c:pt idx="11">
                      <c:v>170.26898330585743</c:v>
                    </c:pt>
                    <c:pt idx="12">
                      <c:v>173.55055697770825</c:v>
                    </c:pt>
                    <c:pt idx="13">
                      <c:v>173.43498455217269</c:v>
                    </c:pt>
                    <c:pt idx="14">
                      <c:v>178.66957830653149</c:v>
                    </c:pt>
                    <c:pt idx="15">
                      <c:v>184.18524824952326</c:v>
                    </c:pt>
                    <c:pt idx="16">
                      <c:v>190.00446431043093</c:v>
                    </c:pt>
                    <c:pt idx="17">
                      <c:v>196.13903577492056</c:v>
                    </c:pt>
                    <c:pt idx="18">
                      <c:v>204.91747146017175</c:v>
                    </c:pt>
                    <c:pt idx="19">
                      <c:v>214.18798149669576</c:v>
                    </c:pt>
                    <c:pt idx="20">
                      <c:v>223.95049615503603</c:v>
                    </c:pt>
                    <c:pt idx="21">
                      <c:v>234.26267476945176</c:v>
                    </c:pt>
                    <c:pt idx="22">
                      <c:v>238.91605589934187</c:v>
                    </c:pt>
                    <c:pt idx="23">
                      <c:v>252.12842523786557</c:v>
                    </c:pt>
                    <c:pt idx="24">
                      <c:v>266.10730876409303</c:v>
                    </c:pt>
                    <c:pt idx="25">
                      <c:v>280.89842924891138</c:v>
                    </c:pt>
                    <c:pt idx="26">
                      <c:v>426.58447948350289</c:v>
                    </c:pt>
                    <c:pt idx="27">
                      <c:v>187.29077616030145</c:v>
                    </c:pt>
                    <c:pt idx="28">
                      <c:v>191.26909620880934</c:v>
                    </c:pt>
                    <c:pt idx="29">
                      <c:v>195.33964283929944</c:v>
                    </c:pt>
                    <c:pt idx="30">
                      <c:v>199.50476699065189</c:v>
                    </c:pt>
                    <c:pt idx="31">
                      <c:v>203.76688687681408</c:v>
                    </c:pt>
                    <c:pt idx="32">
                      <c:v>208.12849014255346</c:v>
                    </c:pt>
                    <c:pt idx="33">
                      <c:v>212.59213609473574</c:v>
                    </c:pt>
                    <c:pt idx="34">
                      <c:v>217.16045801193494</c:v>
                    </c:pt>
                    <c:pt idx="35">
                      <c:v>221.83616553529029</c:v>
                    </c:pt>
                    <c:pt idx="36">
                      <c:v>226.62204714363742</c:v>
                    </c:pt>
                    <c:pt idx="37">
                      <c:v>231.52097271605709</c:v>
                    </c:pt>
                    <c:pt idx="38">
                      <c:v>236.70389618510711</c:v>
                    </c:pt>
                    <c:pt idx="39">
                      <c:v>242.01257828412727</c:v>
                    </c:pt>
                    <c:pt idx="40">
                      <c:v>247.45041819214055</c:v>
                    </c:pt>
                    <c:pt idx="41">
                      <c:v>253.02091843200728</c:v>
                    </c:pt>
                    <c:pt idx="42">
                      <c:v>258.72768835171235</c:v>
                    </c:pt>
                    <c:pt idx="43">
                      <c:v>264.57444773185409</c:v>
                    </c:pt>
                    <c:pt idx="44">
                      <c:v>270.56503052412296</c:v>
                    </c:pt>
                    <c:pt idx="45">
                      <c:v>276.70338872574251</c:v>
                    </c:pt>
                    <c:pt idx="46">
                      <c:v>242.92403379509636</c:v>
                    </c:pt>
                    <c:pt idx="47">
                      <c:v>247.76750870957326</c:v>
                    </c:pt>
                    <c:pt idx="48">
                      <c:v>252.70725289188272</c:v>
                    </c:pt>
                    <c:pt idx="49">
                      <c:v>257.74516771816309</c:v>
                    </c:pt>
                    <c:pt idx="50">
                      <c:v>262.88319163170678</c:v>
                    </c:pt>
                    <c:pt idx="51">
                      <c:v>268.12330084588854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C33-4022-BA35-CFF3648C8817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v>自由
儲蓄</c:v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測試_投資報酬增加!$E$4:$E$53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53</c:v>
                      </c:pt>
                      <c:pt idx="13">
                        <c:v>54</c:v>
                      </c:pt>
                      <c:pt idx="14">
                        <c:v>55</c:v>
                      </c:pt>
                      <c:pt idx="15">
                        <c:v>56</c:v>
                      </c:pt>
                      <c:pt idx="16">
                        <c:v>57</c:v>
                      </c:pt>
                      <c:pt idx="17">
                        <c:v>58</c:v>
                      </c:pt>
                      <c:pt idx="18">
                        <c:v>59</c:v>
                      </c:pt>
                      <c:pt idx="19">
                        <c:v>60</c:v>
                      </c:pt>
                      <c:pt idx="20">
                        <c:v>61</c:v>
                      </c:pt>
                      <c:pt idx="21">
                        <c:v>62</c:v>
                      </c:pt>
                      <c:pt idx="22">
                        <c:v>63</c:v>
                      </c:pt>
                      <c:pt idx="23">
                        <c:v>64</c:v>
                      </c:pt>
                      <c:pt idx="24">
                        <c:v>65</c:v>
                      </c:pt>
                      <c:pt idx="25">
                        <c:v>66</c:v>
                      </c:pt>
                      <c:pt idx="26">
                        <c:v>67</c:v>
                      </c:pt>
                      <c:pt idx="27">
                        <c:v>68</c:v>
                      </c:pt>
                      <c:pt idx="28">
                        <c:v>69</c:v>
                      </c:pt>
                      <c:pt idx="29">
                        <c:v>70</c:v>
                      </c:pt>
                      <c:pt idx="30">
                        <c:v>71</c:v>
                      </c:pt>
                      <c:pt idx="31">
                        <c:v>72</c:v>
                      </c:pt>
                      <c:pt idx="32">
                        <c:v>73</c:v>
                      </c:pt>
                      <c:pt idx="33">
                        <c:v>74</c:v>
                      </c:pt>
                      <c:pt idx="34">
                        <c:v>75</c:v>
                      </c:pt>
                      <c:pt idx="35">
                        <c:v>76</c:v>
                      </c:pt>
                      <c:pt idx="36">
                        <c:v>77</c:v>
                      </c:pt>
                      <c:pt idx="37">
                        <c:v>78</c:v>
                      </c:pt>
                      <c:pt idx="38">
                        <c:v>79</c:v>
                      </c:pt>
                      <c:pt idx="39">
                        <c:v>80</c:v>
                      </c:pt>
                      <c:pt idx="40">
                        <c:v>81</c:v>
                      </c:pt>
                      <c:pt idx="41">
                        <c:v>82</c:v>
                      </c:pt>
                      <c:pt idx="42">
                        <c:v>83</c:v>
                      </c:pt>
                      <c:pt idx="43">
                        <c:v>84</c:v>
                      </c:pt>
                      <c:pt idx="44">
                        <c:v>85</c:v>
                      </c:pt>
                      <c:pt idx="45">
                        <c:v>86</c:v>
                      </c:pt>
                      <c:pt idx="46">
                        <c:v>87</c:v>
                      </c:pt>
                      <c:pt idx="47">
                        <c:v>88</c:v>
                      </c:pt>
                      <c:pt idx="48">
                        <c:v>89</c:v>
                      </c:pt>
                      <c:pt idx="49">
                        <c:v>90</c:v>
                      </c:pt>
                    </c:numCache>
                  </c:numRef>
                </c:cat>
                <c:val>
                  <c:numLit>
                    <c:formatCode>General</c:formatCode>
                    <c:ptCount val="52"/>
                    <c:pt idx="1">
                      <c:v>1.7400000000000091</c:v>
                    </c:pt>
                    <c:pt idx="2">
                      <c:v>7.5863999999999976</c:v>
                    </c:pt>
                    <c:pt idx="3">
                      <c:v>8.5447839999999928</c:v>
                    </c:pt>
                    <c:pt idx="4">
                      <c:v>9.3501179200000024</c:v>
                    </c:pt>
                    <c:pt idx="5">
                      <c:v>-11.252275991999994</c:v>
                    </c:pt>
                    <c:pt idx="6">
                      <c:v>8.8950768215839844</c:v>
                    </c:pt>
                    <c:pt idx="7">
                      <c:v>8.4424850121812938</c:v>
                    </c:pt>
                    <c:pt idx="8">
                      <c:v>-4.7072552495201023</c:v>
                    </c:pt>
                    <c:pt idx="9">
                      <c:v>-28.729125150515927</c:v>
                    </c:pt>
                    <c:pt idx="10">
                      <c:v>23.228805829719732</c:v>
                    </c:pt>
                    <c:pt idx="11">
                      <c:v>12.74893438455868</c:v>
                    </c:pt>
                    <c:pt idx="12">
                      <c:v>-44.909605770165768</c:v>
                    </c:pt>
                    <c:pt idx="13">
                      <c:v>46.570174049171996</c:v>
                    </c:pt>
                    <c:pt idx="14">
                      <c:v>47.437385139045119</c:v>
                    </c:pt>
                    <c:pt idx="15">
                      <c:v>50.692615079139841</c:v>
                    </c:pt>
                    <c:pt idx="16">
                      <c:v>53.99964892397341</c:v>
                    </c:pt>
                    <c:pt idx="17">
                      <c:v>95.960895124042437</c:v>
                    </c:pt>
                    <c:pt idx="18">
                      <c:v>101.12286423775132</c:v>
                    </c:pt>
                    <c:pt idx="19">
                      <c:v>106.02788215273416</c:v>
                    </c:pt>
                    <c:pt idx="20">
                      <c:v>111.62840566283427</c:v>
                    </c:pt>
                    <c:pt idx="21">
                      <c:v>13.459772920537603</c:v>
                    </c:pt>
                    <c:pt idx="22">
                      <c:v>154.01766449749556</c:v>
                    </c:pt>
                    <c:pt idx="23">
                      <c:v>161.79623674937739</c:v>
                    </c:pt>
                    <c:pt idx="24">
                      <c:v>169.91395711247517</c:v>
                    </c:pt>
                    <c:pt idx="25">
                      <c:v>178.15112196443346</c:v>
                    </c:pt>
                    <c:pt idx="26">
                      <c:v>269.61626611711335</c:v>
                    </c:pt>
                    <c:pt idx="27">
                      <c:v>21.1819815689433</c:v>
                    </c:pt>
                    <c:pt idx="28">
                      <c:v>20.67003228708775</c:v>
                    </c:pt>
                    <c:pt idx="29">
                      <c:v>20.129132241330439</c:v>
                    </c:pt>
                    <c:pt idx="30">
                      <c:v>19.558328180827971</c:v>
                    </c:pt>
                    <c:pt idx="31">
                      <c:v>18.956640305008875</c:v>
                    </c:pt>
                    <c:pt idx="32">
                      <c:v>18.323061582884719</c:v>
                    </c:pt>
                    <c:pt idx="33">
                      <c:v>17.656557055753552</c:v>
                    </c:pt>
                    <c:pt idx="34">
                      <c:v>16.956063122904027</c:v>
                    </c:pt>
                    <c:pt idx="35">
                      <c:v>16.220486809918214</c:v>
                    </c:pt>
                    <c:pt idx="36">
                      <c:v>15.448705019163754</c:v>
                    </c:pt>
                    <c:pt idx="37">
                      <c:v>18.839563762055178</c:v>
                    </c:pt>
                    <c:pt idx="38">
                      <c:v>18.075877372654617</c:v>
                    </c:pt>
                    <c:pt idx="39">
                      <c:v>17.274107702173183</c:v>
                    </c:pt>
                    <c:pt idx="40">
                      <c:v>16.433036893923429</c:v>
                    </c:pt>
                    <c:pt idx="41">
                      <c:v>15.551413610262841</c:v>
                    </c:pt>
                    <c:pt idx="42">
                      <c:v>14.627952180498227</c:v>
                    </c:pt>
                    <c:pt idx="43">
                      <c:v>13.661331728098958</c:v>
                    </c:pt>
                    <c:pt idx="44">
                      <c:v>12.650195276731523</c:v>
                    </c:pt>
                    <c:pt idx="45">
                      <c:v>11.59314883461812</c:v>
                    </c:pt>
                    <c:pt idx="46">
                      <c:v>-29.580802143234024</c:v>
                    </c:pt>
                    <c:pt idx="47">
                      <c:v>-31.535394567791712</c:v>
                    </c:pt>
                    <c:pt idx="48">
                      <c:v>-33.556338368474428</c:v>
                    </c:pt>
                    <c:pt idx="49">
                      <c:v>-35.645505763357306</c:v>
                    </c:pt>
                    <c:pt idx="50">
                      <c:v>-37.804817318688123</c:v>
                    </c:pt>
                    <c:pt idx="51">
                      <c:v>-40.036243133926831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C33-4022-BA35-CFF3648C8817}"/>
                  </c:ext>
                </c:extLst>
              </c15:ser>
            </c15:filteredLineSeries>
          </c:ext>
        </c:extLst>
      </c:lineChart>
      <c:catAx>
        <c:axId val="64986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451887"/>
        <c:crosses val="autoZero"/>
        <c:auto val="1"/>
        <c:lblAlgn val="ctr"/>
        <c:lblOffset val="100"/>
        <c:noMultiLvlLbl val="0"/>
      </c:catAx>
      <c:valAx>
        <c:axId val="40945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9869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330200</xdr:colOff>
      <xdr:row>19</xdr:row>
      <xdr:rowOff>100069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4295D605-3B0E-476E-AF34-358273079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477000" cy="35989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42331</xdr:colOff>
      <xdr:row>53</xdr:row>
      <xdr:rowOff>140002</xdr:rowOff>
    </xdr:from>
    <xdr:to>
      <xdr:col>16</xdr:col>
      <xdr:colOff>38100</xdr:colOff>
      <xdr:row>84</xdr:row>
      <xdr:rowOff>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129C6EC9-1470-4C6F-8B34-A0EC23105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54</xdr:row>
      <xdr:rowOff>0</xdr:rowOff>
    </xdr:from>
    <xdr:to>
      <xdr:col>15</xdr:col>
      <xdr:colOff>156937</xdr:colOff>
      <xdr:row>74</xdr:row>
      <xdr:rowOff>56243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62999ACF-307B-489D-AA52-4BB5608FC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151657</xdr:colOff>
      <xdr:row>0</xdr:row>
      <xdr:rowOff>76613</xdr:rowOff>
    </xdr:from>
    <xdr:to>
      <xdr:col>23</xdr:col>
      <xdr:colOff>216477</xdr:colOff>
      <xdr:row>14</xdr:row>
      <xdr:rowOff>68201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2499C0BE-7A90-44D4-9F24-F64A972BF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549427</xdr:colOff>
      <xdr:row>54</xdr:row>
      <xdr:rowOff>19050</xdr:rowOff>
    </xdr:from>
    <xdr:to>
      <xdr:col>21</xdr:col>
      <xdr:colOff>0</xdr:colOff>
      <xdr:row>80</xdr:row>
      <xdr:rowOff>25400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13DA11B7-BE5D-4F23-9801-8A55EA1DA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54</xdr:row>
      <xdr:rowOff>77108</xdr:rowOff>
    </xdr:from>
    <xdr:to>
      <xdr:col>20</xdr:col>
      <xdr:colOff>488950</xdr:colOff>
      <xdr:row>78</xdr:row>
      <xdr:rowOff>107950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48C9B674-5F70-4125-95C4-8F84D6E38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54</xdr:row>
      <xdr:rowOff>61684</xdr:rowOff>
    </xdr:from>
    <xdr:to>
      <xdr:col>20</xdr:col>
      <xdr:colOff>488950</xdr:colOff>
      <xdr:row>80</xdr:row>
      <xdr:rowOff>44449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BC9A2960-30BC-4D38-ACCB-42FFB8E9EF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36285</xdr:colOff>
      <xdr:row>54</xdr:row>
      <xdr:rowOff>4535</xdr:rowOff>
    </xdr:from>
    <xdr:to>
      <xdr:col>21</xdr:col>
      <xdr:colOff>136071</xdr:colOff>
      <xdr:row>78</xdr:row>
      <xdr:rowOff>172357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7EBC8ADE-410F-456D-865B-A64AAF0B5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54</xdr:row>
      <xdr:rowOff>61685</xdr:rowOff>
    </xdr:from>
    <xdr:to>
      <xdr:col>15</xdr:col>
      <xdr:colOff>190500</xdr:colOff>
      <xdr:row>74</xdr:row>
      <xdr:rowOff>172357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DEF61C62-03B7-46E2-868B-A88868E41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54</xdr:row>
      <xdr:rowOff>61685</xdr:rowOff>
    </xdr:from>
    <xdr:to>
      <xdr:col>15</xdr:col>
      <xdr:colOff>190500</xdr:colOff>
      <xdr:row>74</xdr:row>
      <xdr:rowOff>172357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3507D8F4-BFD9-4081-BFB3-BD9D6222A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54</xdr:row>
      <xdr:rowOff>61685</xdr:rowOff>
    </xdr:from>
    <xdr:to>
      <xdr:col>15</xdr:col>
      <xdr:colOff>190500</xdr:colOff>
      <xdr:row>74</xdr:row>
      <xdr:rowOff>172357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19BCAFD3-96F5-4887-B93F-B5443BFE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54</xdr:row>
      <xdr:rowOff>61685</xdr:rowOff>
    </xdr:from>
    <xdr:to>
      <xdr:col>16</xdr:col>
      <xdr:colOff>190500</xdr:colOff>
      <xdr:row>74</xdr:row>
      <xdr:rowOff>172357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AA1B96CC-C593-40FF-8840-34DDB4F63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7CA8-23A1-4957-AFD3-DD681F020507}">
  <dimension ref="A1"/>
  <sheetViews>
    <sheetView tabSelected="1" workbookViewId="0">
      <selection activeCell="N3" sqref="N3"/>
    </sheetView>
  </sheetViews>
  <sheetFormatPr defaultRowHeight="14.5" x14ac:dyDescent="0.3"/>
  <sheetData/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4"/>
  <sheetViews>
    <sheetView zoomScaleNormal="100" workbookViewId="0">
      <pane ySplit="3" topLeftCell="A4" activePane="bottomLeft" state="frozen"/>
      <selection pane="bottomLeft" sqref="A1:N2"/>
    </sheetView>
  </sheetViews>
  <sheetFormatPr defaultRowHeight="14.5" x14ac:dyDescent="0.3"/>
  <cols>
    <col min="1" max="1" width="34.5" customWidth="1"/>
    <col min="2" max="9" width="9.296875" bestFit="1" customWidth="1"/>
    <col min="10" max="13" width="9.3984375" bestFit="1" customWidth="1"/>
    <col min="14" max="14" width="12.69921875" customWidth="1"/>
  </cols>
  <sheetData>
    <row r="1" spans="1:14" x14ac:dyDescent="0.3">
      <c r="A1" s="201" t="s">
        <v>159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x14ac:dyDescent="0.3">
      <c r="A2" s="202" t="s">
        <v>160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4" x14ac:dyDescent="0.3">
      <c r="A3" s="26"/>
      <c r="B3" s="77" t="s">
        <v>161</v>
      </c>
      <c r="C3" s="77" t="s">
        <v>162</v>
      </c>
      <c r="D3" s="77" t="s">
        <v>163</v>
      </c>
      <c r="E3" s="77" t="s">
        <v>164</v>
      </c>
      <c r="F3" s="77" t="s">
        <v>165</v>
      </c>
      <c r="G3" s="77" t="s">
        <v>166</v>
      </c>
      <c r="H3" s="77" t="s">
        <v>167</v>
      </c>
      <c r="I3" s="77" t="s">
        <v>168</v>
      </c>
      <c r="J3" s="77" t="s">
        <v>169</v>
      </c>
      <c r="K3" s="77" t="s">
        <v>170</v>
      </c>
      <c r="L3" s="77" t="s">
        <v>171</v>
      </c>
      <c r="M3" s="77" t="s">
        <v>172</v>
      </c>
      <c r="N3" s="78" t="s">
        <v>266</v>
      </c>
    </row>
    <row r="4" spans="1:14" x14ac:dyDescent="0.3">
      <c r="A4" s="60" t="s">
        <v>195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3">
      <c r="A5" s="57" t="s">
        <v>157</v>
      </c>
      <c r="B5" s="28">
        <f>40800*2.5</f>
        <v>102000</v>
      </c>
      <c r="C5" s="28">
        <v>40800</v>
      </c>
      <c r="D5" s="28">
        <v>40800</v>
      </c>
      <c r="E5" s="28">
        <v>40800</v>
      </c>
      <c r="F5" s="28">
        <v>40800</v>
      </c>
      <c r="G5" s="28">
        <v>40800</v>
      </c>
      <c r="H5" s="28">
        <v>40800</v>
      </c>
      <c r="I5" s="28">
        <v>40800</v>
      </c>
      <c r="J5" s="28">
        <v>40800</v>
      </c>
      <c r="K5" s="28">
        <v>40800</v>
      </c>
      <c r="L5" s="28">
        <v>40800</v>
      </c>
      <c r="M5" s="28">
        <v>40800</v>
      </c>
      <c r="N5" s="28">
        <f>SUM(B5:M5)</f>
        <v>550800</v>
      </c>
    </row>
    <row r="6" spans="1:14" x14ac:dyDescent="0.3">
      <c r="A6" s="57" t="s">
        <v>158</v>
      </c>
      <c r="B6" s="28">
        <v>70700</v>
      </c>
      <c r="C6" s="28">
        <v>70700</v>
      </c>
      <c r="D6" s="28">
        <v>70700</v>
      </c>
      <c r="E6" s="28">
        <v>70700</v>
      </c>
      <c r="F6" s="28">
        <v>70700</v>
      </c>
      <c r="G6" s="28">
        <v>70700</v>
      </c>
      <c r="H6" s="28">
        <v>70700</v>
      </c>
      <c r="I6" s="28">
        <v>70700</v>
      </c>
      <c r="J6" s="28">
        <v>70700</v>
      </c>
      <c r="K6" s="28">
        <v>70700</v>
      </c>
      <c r="L6" s="28">
        <v>70700</v>
      </c>
      <c r="M6" s="28">
        <v>70700</v>
      </c>
      <c r="N6" s="28">
        <f>SUM(B6:M6)</f>
        <v>848400</v>
      </c>
    </row>
    <row r="7" spans="1:14" x14ac:dyDescent="0.3">
      <c r="A7" s="26" t="s">
        <v>11</v>
      </c>
      <c r="B7" s="28"/>
      <c r="C7" s="28"/>
      <c r="D7" s="28"/>
      <c r="E7" s="28"/>
      <c r="F7" s="28"/>
      <c r="G7" s="28">
        <v>1000</v>
      </c>
      <c r="H7" s="28"/>
      <c r="I7" s="28"/>
      <c r="J7" s="28"/>
      <c r="K7" s="28"/>
      <c r="L7" s="28"/>
      <c r="M7" s="28">
        <v>1000</v>
      </c>
      <c r="N7" s="28">
        <f>SUM(B7:M7)</f>
        <v>2000</v>
      </c>
    </row>
    <row r="8" spans="1:14" x14ac:dyDescent="0.3">
      <c r="A8" s="26" t="s">
        <v>12</v>
      </c>
      <c r="B8" s="28"/>
      <c r="C8" s="28"/>
      <c r="D8" s="28"/>
      <c r="E8" s="28"/>
      <c r="F8" s="28"/>
      <c r="G8" s="28"/>
      <c r="H8" s="28"/>
      <c r="I8" s="28"/>
      <c r="J8" s="28">
        <v>10000</v>
      </c>
      <c r="K8" s="28">
        <v>10000</v>
      </c>
      <c r="L8" s="28"/>
      <c r="M8" s="28"/>
      <c r="N8" s="28">
        <f>SUM(B8:M8)</f>
        <v>20000</v>
      </c>
    </row>
    <row r="9" spans="1:14" x14ac:dyDescent="0.3">
      <c r="A9" t="s">
        <v>173</v>
      </c>
      <c r="B9" s="29">
        <v>25500</v>
      </c>
      <c r="C9" s="29"/>
      <c r="D9" s="29"/>
      <c r="E9" s="29"/>
      <c r="F9" s="29">
        <v>25500</v>
      </c>
      <c r="G9" s="29"/>
      <c r="H9" s="29"/>
      <c r="I9" s="29"/>
      <c r="J9" s="29"/>
      <c r="K9" s="29"/>
      <c r="L9" s="29"/>
      <c r="M9" s="29"/>
      <c r="N9" s="29">
        <f>SUM(B9:M9)</f>
        <v>51000</v>
      </c>
    </row>
    <row r="10" spans="1:14" x14ac:dyDescent="0.3">
      <c r="A10" s="26" t="s">
        <v>13</v>
      </c>
      <c r="B10" s="30">
        <f>SUM(B5:B9)</f>
        <v>198200</v>
      </c>
      <c r="C10" s="30">
        <f t="shared" ref="C10:M10" si="0">SUM(C5:C9)</f>
        <v>111500</v>
      </c>
      <c r="D10" s="30">
        <f t="shared" si="0"/>
        <v>111500</v>
      </c>
      <c r="E10" s="30">
        <f t="shared" si="0"/>
        <v>111500</v>
      </c>
      <c r="F10" s="30">
        <f t="shared" si="0"/>
        <v>137000</v>
      </c>
      <c r="G10" s="30">
        <f t="shared" si="0"/>
        <v>112500</v>
      </c>
      <c r="H10" s="30">
        <f t="shared" si="0"/>
        <v>111500</v>
      </c>
      <c r="I10" s="30">
        <f t="shared" si="0"/>
        <v>111500</v>
      </c>
      <c r="J10" s="30">
        <f t="shared" si="0"/>
        <v>121500</v>
      </c>
      <c r="K10" s="30">
        <f t="shared" si="0"/>
        <v>121500</v>
      </c>
      <c r="L10" s="30">
        <f t="shared" si="0"/>
        <v>111500</v>
      </c>
      <c r="M10" s="30">
        <f t="shared" si="0"/>
        <v>112500</v>
      </c>
      <c r="N10" s="30">
        <f>SUM(N5:N9)</f>
        <v>1472200</v>
      </c>
    </row>
    <row r="11" spans="1:14" x14ac:dyDescent="0.3">
      <c r="A11" s="2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3">
      <c r="A12" s="60" t="s">
        <v>196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x14ac:dyDescent="0.3">
      <c r="A13" s="26" t="s">
        <v>14</v>
      </c>
      <c r="B13" s="28">
        <v>32000</v>
      </c>
      <c r="C13" s="28">
        <v>32000</v>
      </c>
      <c r="D13" s="28">
        <v>32000</v>
      </c>
      <c r="E13" s="28">
        <v>32000</v>
      </c>
      <c r="F13" s="28">
        <v>32000</v>
      </c>
      <c r="G13" s="28">
        <v>32000</v>
      </c>
      <c r="H13" s="28">
        <v>32000</v>
      </c>
      <c r="I13" s="28">
        <v>32000</v>
      </c>
      <c r="J13" s="28">
        <v>32000</v>
      </c>
      <c r="K13" s="28">
        <v>32000</v>
      </c>
      <c r="L13" s="28">
        <v>32000</v>
      </c>
      <c r="M13" s="28">
        <v>32000</v>
      </c>
      <c r="N13" s="28">
        <f>SUM(B13:M13)</f>
        <v>384000</v>
      </c>
    </row>
    <row r="14" spans="1:14" x14ac:dyDescent="0.3">
      <c r="A14" s="58" t="s">
        <v>174</v>
      </c>
      <c r="B14" s="28">
        <f>39500/12</f>
        <v>3291.6666666666665</v>
      </c>
      <c r="C14" s="28">
        <f t="shared" ref="C14:M14" si="1">39500/12</f>
        <v>3291.6666666666665</v>
      </c>
      <c r="D14" s="28">
        <f t="shared" si="1"/>
        <v>3291.6666666666665</v>
      </c>
      <c r="E14" s="28">
        <f t="shared" si="1"/>
        <v>3291.6666666666665</v>
      </c>
      <c r="F14" s="28">
        <f t="shared" si="1"/>
        <v>3291.6666666666665</v>
      </c>
      <c r="G14" s="28">
        <f t="shared" si="1"/>
        <v>3291.6666666666665</v>
      </c>
      <c r="H14" s="28">
        <f t="shared" si="1"/>
        <v>3291.6666666666665</v>
      </c>
      <c r="I14" s="28">
        <f t="shared" si="1"/>
        <v>3291.6666666666665</v>
      </c>
      <c r="J14" s="28">
        <f t="shared" si="1"/>
        <v>3291.6666666666665</v>
      </c>
      <c r="K14" s="28">
        <f t="shared" si="1"/>
        <v>3291.6666666666665</v>
      </c>
      <c r="L14" s="28">
        <f t="shared" si="1"/>
        <v>3291.6666666666665</v>
      </c>
      <c r="M14" s="28">
        <f t="shared" si="1"/>
        <v>3291.6666666666665</v>
      </c>
      <c r="N14" s="28">
        <f t="shared" ref="N14:N49" si="2">SUM(B14:M14)</f>
        <v>39500</v>
      </c>
    </row>
    <row r="15" spans="1:14" x14ac:dyDescent="0.3">
      <c r="A15" s="31" t="s">
        <v>15</v>
      </c>
      <c r="B15" s="28">
        <v>10000</v>
      </c>
      <c r="C15" s="28">
        <v>10000</v>
      </c>
      <c r="D15" s="28">
        <v>10000</v>
      </c>
      <c r="E15" s="28">
        <v>10000</v>
      </c>
      <c r="F15" s="28">
        <v>10000</v>
      </c>
      <c r="G15" s="28">
        <v>10000</v>
      </c>
      <c r="H15" s="28">
        <v>10000</v>
      </c>
      <c r="I15" s="28">
        <v>10000</v>
      </c>
      <c r="J15" s="28">
        <v>10000</v>
      </c>
      <c r="K15" s="28">
        <v>10000</v>
      </c>
      <c r="L15" s="28">
        <v>10000</v>
      </c>
      <c r="M15" s="28">
        <v>10000</v>
      </c>
      <c r="N15" s="28">
        <f>SUM(B15:M15)</f>
        <v>120000</v>
      </c>
    </row>
    <row r="16" spans="1:14" x14ac:dyDescent="0.3">
      <c r="A16" s="31" t="s">
        <v>16</v>
      </c>
      <c r="B16" s="28">
        <f>24000/12</f>
        <v>2000</v>
      </c>
      <c r="C16" s="28">
        <f t="shared" ref="C16:M16" si="3">24000/12</f>
        <v>2000</v>
      </c>
      <c r="D16" s="28">
        <f t="shared" si="3"/>
        <v>2000</v>
      </c>
      <c r="E16" s="28">
        <f t="shared" si="3"/>
        <v>2000</v>
      </c>
      <c r="F16" s="28">
        <f t="shared" si="3"/>
        <v>2000</v>
      </c>
      <c r="G16" s="28">
        <f t="shared" si="3"/>
        <v>2000</v>
      </c>
      <c r="H16" s="28">
        <f t="shared" si="3"/>
        <v>2000</v>
      </c>
      <c r="I16" s="28">
        <f t="shared" si="3"/>
        <v>2000</v>
      </c>
      <c r="J16" s="28">
        <f t="shared" si="3"/>
        <v>2000</v>
      </c>
      <c r="K16" s="28">
        <f t="shared" si="3"/>
        <v>2000</v>
      </c>
      <c r="L16" s="28">
        <f t="shared" si="3"/>
        <v>2000</v>
      </c>
      <c r="M16" s="28">
        <f t="shared" si="3"/>
        <v>2000</v>
      </c>
      <c r="N16" s="28">
        <f t="shared" si="2"/>
        <v>24000</v>
      </c>
    </row>
    <row r="17" spans="1:14" x14ac:dyDescent="0.3">
      <c r="A17" s="58" t="s">
        <v>175</v>
      </c>
      <c r="B17" s="28">
        <v>510</v>
      </c>
      <c r="C17" s="28">
        <v>510</v>
      </c>
      <c r="D17" s="28">
        <v>510</v>
      </c>
      <c r="E17" s="28">
        <v>510</v>
      </c>
      <c r="F17" s="28">
        <v>510</v>
      </c>
      <c r="G17" s="28">
        <v>510</v>
      </c>
      <c r="H17" s="28">
        <v>510</v>
      </c>
      <c r="I17" s="28">
        <v>510</v>
      </c>
      <c r="J17" s="28">
        <v>510</v>
      </c>
      <c r="K17" s="28">
        <v>510</v>
      </c>
      <c r="L17" s="28">
        <v>510</v>
      </c>
      <c r="M17" s="28">
        <v>510</v>
      </c>
      <c r="N17" s="28">
        <f t="shared" si="2"/>
        <v>6120</v>
      </c>
    </row>
    <row r="18" spans="1:14" x14ac:dyDescent="0.3">
      <c r="A18" s="58" t="s">
        <v>176</v>
      </c>
      <c r="B18" s="28">
        <v>12240</v>
      </c>
      <c r="C18" s="28">
        <v>12240</v>
      </c>
      <c r="D18" s="28">
        <v>12240</v>
      </c>
      <c r="E18" s="28">
        <v>12240</v>
      </c>
      <c r="F18" s="28">
        <v>12240</v>
      </c>
      <c r="G18" s="28">
        <v>12240</v>
      </c>
      <c r="H18" s="28">
        <v>12240</v>
      </c>
      <c r="I18" s="28">
        <v>12240</v>
      </c>
      <c r="J18" s="28">
        <v>12240</v>
      </c>
      <c r="K18" s="28">
        <v>12240</v>
      </c>
      <c r="L18" s="28">
        <v>12240</v>
      </c>
      <c r="M18" s="28">
        <v>12240</v>
      </c>
      <c r="N18" s="28">
        <f t="shared" si="2"/>
        <v>146880</v>
      </c>
    </row>
    <row r="19" spans="1:14" x14ac:dyDescent="0.3">
      <c r="A19" s="31" t="s">
        <v>17</v>
      </c>
      <c r="B19" s="28">
        <v>5100</v>
      </c>
      <c r="C19" s="28">
        <v>5100</v>
      </c>
      <c r="D19" s="28">
        <v>5100</v>
      </c>
      <c r="E19" s="28">
        <v>5100</v>
      </c>
      <c r="F19" s="28">
        <v>5100</v>
      </c>
      <c r="G19" s="28">
        <v>5100</v>
      </c>
      <c r="H19" s="28">
        <v>5100</v>
      </c>
      <c r="I19" s="28">
        <v>5100</v>
      </c>
      <c r="J19" s="28">
        <v>5100</v>
      </c>
      <c r="K19" s="28">
        <v>5100</v>
      </c>
      <c r="L19" s="28">
        <v>5100</v>
      </c>
      <c r="M19" s="28">
        <v>5100</v>
      </c>
      <c r="N19" s="28">
        <f t="shared" si="2"/>
        <v>61200</v>
      </c>
    </row>
    <row r="20" spans="1:14" x14ac:dyDescent="0.3">
      <c r="A20" s="58" t="s">
        <v>177</v>
      </c>
      <c r="B20" s="28">
        <v>2000</v>
      </c>
      <c r="C20" s="28">
        <v>2000</v>
      </c>
      <c r="D20" s="28">
        <v>2000</v>
      </c>
      <c r="E20" s="28">
        <v>2000</v>
      </c>
      <c r="F20" s="28">
        <v>2000</v>
      </c>
      <c r="G20" s="28">
        <v>2000</v>
      </c>
      <c r="H20" s="28">
        <v>2000</v>
      </c>
      <c r="I20" s="28">
        <v>2000</v>
      </c>
      <c r="J20" s="28">
        <v>2000</v>
      </c>
      <c r="K20" s="28">
        <v>2000</v>
      </c>
      <c r="L20" s="28">
        <v>2000</v>
      </c>
      <c r="M20" s="28">
        <v>2000</v>
      </c>
      <c r="N20" s="28">
        <f t="shared" si="2"/>
        <v>24000</v>
      </c>
    </row>
    <row r="21" spans="1:14" x14ac:dyDescent="0.3">
      <c r="A21" s="58" t="s">
        <v>178</v>
      </c>
      <c r="B21" s="28">
        <v>1000</v>
      </c>
      <c r="C21" s="28">
        <v>1000</v>
      </c>
      <c r="D21" s="28">
        <v>1000</v>
      </c>
      <c r="E21" s="28">
        <v>1000</v>
      </c>
      <c r="F21" s="28">
        <v>1000</v>
      </c>
      <c r="G21" s="28">
        <v>1000</v>
      </c>
      <c r="H21" s="28">
        <v>1000</v>
      </c>
      <c r="I21" s="28">
        <v>1000</v>
      </c>
      <c r="J21" s="28">
        <v>1000</v>
      </c>
      <c r="K21" s="28">
        <v>1000</v>
      </c>
      <c r="L21" s="28">
        <v>1000</v>
      </c>
      <c r="M21" s="28">
        <v>1000</v>
      </c>
      <c r="N21" s="28">
        <f t="shared" si="2"/>
        <v>12000</v>
      </c>
    </row>
    <row r="22" spans="1:14" x14ac:dyDescent="0.3">
      <c r="A22" s="58" t="s">
        <v>179</v>
      </c>
      <c r="B22" s="28">
        <v>600</v>
      </c>
      <c r="C22" s="28">
        <v>600</v>
      </c>
      <c r="D22" s="28">
        <v>600</v>
      </c>
      <c r="E22" s="28">
        <v>600</v>
      </c>
      <c r="F22" s="28">
        <v>600</v>
      </c>
      <c r="G22" s="28">
        <v>600</v>
      </c>
      <c r="H22" s="28">
        <v>600</v>
      </c>
      <c r="I22" s="28">
        <v>600</v>
      </c>
      <c r="J22" s="28">
        <v>600</v>
      </c>
      <c r="K22" s="28">
        <v>600</v>
      </c>
      <c r="L22" s="28">
        <v>600</v>
      </c>
      <c r="M22" s="28">
        <v>600</v>
      </c>
      <c r="N22" s="28">
        <f t="shared" si="2"/>
        <v>7200</v>
      </c>
    </row>
    <row r="23" spans="1:14" x14ac:dyDescent="0.3">
      <c r="A23" s="58" t="s">
        <v>180</v>
      </c>
      <c r="B23" s="28"/>
      <c r="C23" s="28">
        <v>600</v>
      </c>
      <c r="D23" s="28"/>
      <c r="E23" s="28">
        <v>600</v>
      </c>
      <c r="F23" s="28"/>
      <c r="G23" s="28">
        <v>600</v>
      </c>
      <c r="H23" s="28"/>
      <c r="I23" s="28">
        <v>600</v>
      </c>
      <c r="J23" s="28"/>
      <c r="K23" s="28">
        <v>600</v>
      </c>
      <c r="L23" s="28"/>
      <c r="M23" s="28">
        <v>600</v>
      </c>
      <c r="N23" s="28">
        <f>SUM(B23:M23)</f>
        <v>3600</v>
      </c>
    </row>
    <row r="24" spans="1:14" x14ac:dyDescent="0.3">
      <c r="A24" s="31" t="s">
        <v>18</v>
      </c>
      <c r="B24" s="28">
        <v>400</v>
      </c>
      <c r="C24" s="28"/>
      <c r="D24" s="28">
        <v>400</v>
      </c>
      <c r="E24" s="28"/>
      <c r="F24" s="28">
        <v>400</v>
      </c>
      <c r="G24" s="28"/>
      <c r="H24" s="28">
        <v>400</v>
      </c>
      <c r="I24" s="28"/>
      <c r="J24" s="28">
        <v>400</v>
      </c>
      <c r="K24" s="28"/>
      <c r="L24" s="28">
        <v>400</v>
      </c>
      <c r="M24" s="28"/>
      <c r="N24" s="28">
        <f t="shared" si="2"/>
        <v>2400</v>
      </c>
    </row>
    <row r="25" spans="1:14" x14ac:dyDescent="0.3">
      <c r="A25" s="75" t="s">
        <v>181</v>
      </c>
      <c r="B25" s="29">
        <v>2400</v>
      </c>
      <c r="C25" s="29"/>
      <c r="D25" s="29">
        <v>2400</v>
      </c>
      <c r="E25" s="29"/>
      <c r="F25" s="29">
        <v>2400</v>
      </c>
      <c r="G25" s="29"/>
      <c r="H25" s="29">
        <v>2400</v>
      </c>
      <c r="I25" s="29"/>
      <c r="J25" s="29">
        <v>2400</v>
      </c>
      <c r="K25" s="29"/>
      <c r="L25" s="29">
        <v>2400</v>
      </c>
      <c r="M25" s="29"/>
      <c r="N25" s="29">
        <f t="shared" si="2"/>
        <v>14400</v>
      </c>
    </row>
    <row r="26" spans="1:14" x14ac:dyDescent="0.3">
      <c r="A26" s="5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x14ac:dyDescent="0.3">
      <c r="A27" s="76"/>
      <c r="B27" s="79" t="s">
        <v>161</v>
      </c>
      <c r="C27" s="79" t="s">
        <v>162</v>
      </c>
      <c r="D27" s="79" t="s">
        <v>163</v>
      </c>
      <c r="E27" s="79" t="s">
        <v>164</v>
      </c>
      <c r="F27" s="79" t="s">
        <v>165</v>
      </c>
      <c r="G27" s="79" t="s">
        <v>166</v>
      </c>
      <c r="H27" s="79" t="s">
        <v>167</v>
      </c>
      <c r="I27" s="79" t="s">
        <v>168</v>
      </c>
      <c r="J27" s="79" t="s">
        <v>169</v>
      </c>
      <c r="K27" s="79" t="s">
        <v>170</v>
      </c>
      <c r="L27" s="79" t="s">
        <v>171</v>
      </c>
      <c r="M27" s="79" t="s">
        <v>172</v>
      </c>
      <c r="N27" s="80" t="s">
        <v>266</v>
      </c>
    </row>
    <row r="28" spans="1:14" x14ac:dyDescent="0.3">
      <c r="A28" s="31" t="s">
        <v>19</v>
      </c>
      <c r="B28" s="28"/>
      <c r="C28" s="28"/>
      <c r="D28" s="28"/>
      <c r="E28" s="28"/>
      <c r="F28" s="28">
        <v>29000</v>
      </c>
      <c r="G28" s="28"/>
      <c r="H28" s="28"/>
      <c r="I28" s="28"/>
      <c r="J28" s="28"/>
      <c r="K28" s="28"/>
      <c r="L28" s="28"/>
      <c r="M28" s="28"/>
      <c r="N28" s="28">
        <f>SUM(B28:M28)</f>
        <v>29000</v>
      </c>
    </row>
    <row r="29" spans="1:14" x14ac:dyDescent="0.3">
      <c r="A29" s="58" t="s">
        <v>182</v>
      </c>
      <c r="B29" s="28"/>
      <c r="C29" s="28"/>
      <c r="D29" s="28"/>
      <c r="E29" s="28"/>
      <c r="F29" s="28">
        <v>3000</v>
      </c>
      <c r="G29" s="28"/>
      <c r="H29" s="28"/>
      <c r="I29" s="28"/>
      <c r="J29" s="28"/>
      <c r="K29" s="28"/>
      <c r="L29" s="28">
        <v>3000</v>
      </c>
      <c r="M29" s="28"/>
      <c r="N29" s="28">
        <f>SUM(B29:M29)</f>
        <v>6000</v>
      </c>
    </row>
    <row r="30" spans="1:14" x14ac:dyDescent="0.3">
      <c r="A30" s="58" t="s">
        <v>183</v>
      </c>
      <c r="B30" s="28"/>
      <c r="C30" s="28"/>
      <c r="D30" s="28"/>
      <c r="E30" s="28">
        <v>7000</v>
      </c>
      <c r="G30" s="28"/>
      <c r="H30" s="28">
        <v>5000</v>
      </c>
      <c r="I30" s="28"/>
      <c r="J30" s="28"/>
      <c r="K30" s="28"/>
      <c r="L30" s="28"/>
      <c r="M30" s="28"/>
      <c r="N30" s="28">
        <f t="shared" si="2"/>
        <v>12000</v>
      </c>
    </row>
    <row r="31" spans="1:14" x14ac:dyDescent="0.3">
      <c r="A31" s="31" t="s">
        <v>20</v>
      </c>
      <c r="B31" s="28">
        <f>29000/12</f>
        <v>2416.6666666666665</v>
      </c>
      <c r="C31" s="28">
        <f t="shared" ref="C31:M31" si="4">29000/12</f>
        <v>2416.6666666666665</v>
      </c>
      <c r="D31" s="28">
        <f t="shared" si="4"/>
        <v>2416.6666666666665</v>
      </c>
      <c r="E31" s="28">
        <f t="shared" si="4"/>
        <v>2416.6666666666665</v>
      </c>
      <c r="F31" s="28">
        <f t="shared" si="4"/>
        <v>2416.6666666666665</v>
      </c>
      <c r="G31" s="28">
        <f t="shared" si="4"/>
        <v>2416.6666666666665</v>
      </c>
      <c r="H31" s="28">
        <f t="shared" si="4"/>
        <v>2416.6666666666665</v>
      </c>
      <c r="I31" s="28">
        <f t="shared" si="4"/>
        <v>2416.6666666666665</v>
      </c>
      <c r="J31" s="28">
        <f t="shared" si="4"/>
        <v>2416.6666666666665</v>
      </c>
      <c r="K31" s="28">
        <f t="shared" si="4"/>
        <v>2416.6666666666665</v>
      </c>
      <c r="L31" s="28">
        <f t="shared" si="4"/>
        <v>2416.6666666666665</v>
      </c>
      <c r="M31" s="28">
        <f t="shared" si="4"/>
        <v>2416.6666666666665</v>
      </c>
      <c r="N31" s="28">
        <f t="shared" si="2"/>
        <v>29000.000000000004</v>
      </c>
    </row>
    <row r="32" spans="1:14" x14ac:dyDescent="0.3">
      <c r="A32" s="58" t="s">
        <v>184</v>
      </c>
      <c r="B32" s="28">
        <f>22000/12</f>
        <v>1833.3333333333333</v>
      </c>
      <c r="C32" s="28">
        <f t="shared" ref="C32:M32" si="5">22000/12</f>
        <v>1833.3333333333333</v>
      </c>
      <c r="D32" s="28">
        <f t="shared" si="5"/>
        <v>1833.3333333333333</v>
      </c>
      <c r="E32" s="28">
        <f t="shared" si="5"/>
        <v>1833.3333333333333</v>
      </c>
      <c r="F32" s="28">
        <f t="shared" si="5"/>
        <v>1833.3333333333333</v>
      </c>
      <c r="G32" s="28">
        <f t="shared" si="5"/>
        <v>1833.3333333333333</v>
      </c>
      <c r="H32" s="28">
        <f t="shared" si="5"/>
        <v>1833.3333333333333</v>
      </c>
      <c r="I32" s="28">
        <f t="shared" si="5"/>
        <v>1833.3333333333333</v>
      </c>
      <c r="J32" s="28">
        <f t="shared" si="5"/>
        <v>1833.3333333333333</v>
      </c>
      <c r="K32" s="28">
        <f t="shared" si="5"/>
        <v>1833.3333333333333</v>
      </c>
      <c r="L32" s="28">
        <f t="shared" si="5"/>
        <v>1833.3333333333333</v>
      </c>
      <c r="M32" s="28">
        <f t="shared" si="5"/>
        <v>1833.3333333333333</v>
      </c>
      <c r="N32" s="28">
        <f t="shared" si="2"/>
        <v>21999.999999999996</v>
      </c>
    </row>
    <row r="33" spans="1:14" x14ac:dyDescent="0.3">
      <c r="A33" s="59" t="s">
        <v>185</v>
      </c>
      <c r="B33" s="28">
        <v>5000</v>
      </c>
      <c r="C33" s="28">
        <v>5000</v>
      </c>
      <c r="D33" s="28">
        <v>5000</v>
      </c>
      <c r="E33" s="28">
        <v>5000</v>
      </c>
      <c r="F33" s="28">
        <v>5000</v>
      </c>
      <c r="G33" s="28">
        <v>5000</v>
      </c>
      <c r="H33" s="28">
        <v>5000</v>
      </c>
      <c r="I33" s="28">
        <v>5000</v>
      </c>
      <c r="J33" s="28">
        <v>5000</v>
      </c>
      <c r="K33" s="28">
        <v>5000</v>
      </c>
      <c r="L33" s="28">
        <v>5000</v>
      </c>
      <c r="M33" s="28">
        <v>5000</v>
      </c>
      <c r="N33" s="28">
        <f t="shared" si="2"/>
        <v>60000</v>
      </c>
    </row>
    <row r="34" spans="1:14" x14ac:dyDescent="0.3">
      <c r="A34" s="31" t="s">
        <v>21</v>
      </c>
      <c r="B34" s="28"/>
      <c r="C34" s="28">
        <v>3000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>
        <f t="shared" si="2"/>
        <v>3000</v>
      </c>
    </row>
    <row r="35" spans="1:14" x14ac:dyDescent="0.3">
      <c r="A35" s="31" t="s">
        <v>22</v>
      </c>
      <c r="B35" s="28"/>
      <c r="C35" s="28"/>
      <c r="D35" s="28"/>
      <c r="E35" s="28"/>
      <c r="F35" s="28"/>
      <c r="G35" s="28"/>
      <c r="H35" s="28">
        <v>5000</v>
      </c>
      <c r="I35" s="28"/>
      <c r="J35" s="28"/>
      <c r="K35" s="28"/>
      <c r="L35" s="28"/>
      <c r="M35" s="28"/>
      <c r="N35" s="28">
        <f t="shared" si="2"/>
        <v>5000</v>
      </c>
    </row>
    <row r="36" spans="1:14" x14ac:dyDescent="0.3">
      <c r="A36" s="58" t="s">
        <v>186</v>
      </c>
      <c r="B36" s="28"/>
      <c r="C36" s="28"/>
      <c r="D36" s="28"/>
      <c r="E36" s="28">
        <v>17000</v>
      </c>
      <c r="F36" s="28"/>
      <c r="G36" s="28"/>
      <c r="H36" s="28"/>
      <c r="I36" s="28"/>
      <c r="J36" s="28"/>
      <c r="K36" s="28"/>
      <c r="L36" s="28"/>
      <c r="M36" s="28"/>
      <c r="N36" s="28">
        <f t="shared" si="2"/>
        <v>17000</v>
      </c>
    </row>
    <row r="37" spans="1:14" x14ac:dyDescent="0.3">
      <c r="A37" s="31" t="s">
        <v>23</v>
      </c>
      <c r="B37" s="28">
        <v>750</v>
      </c>
      <c r="C37" s="28">
        <v>750</v>
      </c>
      <c r="D37" s="28">
        <v>750</v>
      </c>
      <c r="E37" s="28">
        <v>750</v>
      </c>
      <c r="F37" s="28">
        <v>750</v>
      </c>
      <c r="G37" s="28">
        <v>750</v>
      </c>
      <c r="H37" s="28">
        <v>750</v>
      </c>
      <c r="I37" s="28">
        <v>750</v>
      </c>
      <c r="J37" s="28">
        <v>750</v>
      </c>
      <c r="K37" s="28">
        <v>750</v>
      </c>
      <c r="L37" s="28">
        <v>750</v>
      </c>
      <c r="M37" s="28">
        <v>750</v>
      </c>
      <c r="N37" s="28">
        <f t="shared" si="2"/>
        <v>9000</v>
      </c>
    </row>
    <row r="38" spans="1:14" x14ac:dyDescent="0.3">
      <c r="A38" s="31" t="s">
        <v>24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x14ac:dyDescent="0.3">
      <c r="A39" s="58" t="s">
        <v>187</v>
      </c>
      <c r="B39" s="28">
        <v>300</v>
      </c>
      <c r="C39" s="28">
        <v>300</v>
      </c>
      <c r="D39" s="28">
        <v>300</v>
      </c>
      <c r="E39" s="28">
        <v>300</v>
      </c>
      <c r="F39" s="28">
        <v>300</v>
      </c>
      <c r="G39" s="28">
        <v>300</v>
      </c>
      <c r="H39" s="28">
        <v>300</v>
      </c>
      <c r="I39" s="28">
        <v>300</v>
      </c>
      <c r="J39" s="28">
        <v>300</v>
      </c>
      <c r="K39" s="28">
        <v>300</v>
      </c>
      <c r="L39" s="28">
        <v>300</v>
      </c>
      <c r="M39" s="28">
        <v>300</v>
      </c>
      <c r="N39" s="28">
        <f t="shared" si="2"/>
        <v>3600</v>
      </c>
    </row>
    <row r="40" spans="1:14" x14ac:dyDescent="0.3">
      <c r="A40" s="31" t="s">
        <v>25</v>
      </c>
      <c r="B40" s="28"/>
      <c r="C40" s="28"/>
      <c r="D40" s="28"/>
      <c r="E40" s="28"/>
      <c r="F40" s="28"/>
      <c r="G40" s="28"/>
      <c r="H40" s="28">
        <v>15000</v>
      </c>
      <c r="I40" s="28"/>
      <c r="J40" s="28"/>
      <c r="K40" s="28"/>
      <c r="L40" s="28"/>
      <c r="M40" s="28"/>
      <c r="N40" s="28">
        <f t="shared" si="2"/>
        <v>15000</v>
      </c>
    </row>
    <row r="41" spans="1:14" x14ac:dyDescent="0.3">
      <c r="A41" s="58" t="s">
        <v>188</v>
      </c>
      <c r="B41" s="28"/>
      <c r="C41" s="28"/>
      <c r="D41" s="28"/>
      <c r="E41" s="28"/>
      <c r="F41" s="28">
        <v>13000</v>
      </c>
      <c r="G41" s="28"/>
      <c r="H41" s="28"/>
      <c r="I41" s="28"/>
      <c r="J41" s="28"/>
      <c r="K41" s="28">
        <v>13000</v>
      </c>
      <c r="L41" s="28"/>
      <c r="M41" s="28"/>
      <c r="N41" s="28">
        <f t="shared" si="2"/>
        <v>26000</v>
      </c>
    </row>
    <row r="42" spans="1:14" x14ac:dyDescent="0.3">
      <c r="A42" s="31" t="s">
        <v>26</v>
      </c>
      <c r="B42" s="28"/>
      <c r="C42" s="28"/>
      <c r="D42" s="28">
        <v>2040</v>
      </c>
      <c r="E42" s="28"/>
      <c r="F42" s="28"/>
      <c r="G42" s="28">
        <v>2040</v>
      </c>
      <c r="H42" s="28"/>
      <c r="I42" s="28"/>
      <c r="J42" s="28">
        <v>2040</v>
      </c>
      <c r="K42" s="28"/>
      <c r="L42" s="28"/>
      <c r="M42" s="28">
        <v>2040</v>
      </c>
      <c r="N42" s="28">
        <f t="shared" si="2"/>
        <v>8160</v>
      </c>
    </row>
    <row r="43" spans="1:14" x14ac:dyDescent="0.3">
      <c r="A43" s="58" t="s">
        <v>189</v>
      </c>
      <c r="B43" s="28"/>
      <c r="C43" s="28">
        <v>5100</v>
      </c>
      <c r="D43" s="28"/>
      <c r="E43" s="28"/>
      <c r="F43" s="28"/>
      <c r="G43" s="28"/>
      <c r="H43" s="28"/>
      <c r="I43" s="28"/>
      <c r="J43" s="28">
        <v>5100</v>
      </c>
      <c r="K43" s="28"/>
      <c r="L43" s="28"/>
      <c r="M43" s="28"/>
      <c r="N43" s="28">
        <f t="shared" si="2"/>
        <v>10200</v>
      </c>
    </row>
    <row r="44" spans="1:14" x14ac:dyDescent="0.3">
      <c r="A44" s="58" t="s">
        <v>190</v>
      </c>
      <c r="B44" s="28">
        <v>10200</v>
      </c>
      <c r="C44" s="28">
        <v>10200</v>
      </c>
      <c r="D44" s="28">
        <v>10200</v>
      </c>
      <c r="E44" s="28">
        <v>10200</v>
      </c>
      <c r="F44" s="28">
        <v>10200</v>
      </c>
      <c r="G44" s="28">
        <v>10200</v>
      </c>
      <c r="H44" s="28">
        <v>10200</v>
      </c>
      <c r="I44" s="28">
        <v>10200</v>
      </c>
      <c r="J44" s="28">
        <v>10200</v>
      </c>
      <c r="K44" s="28">
        <v>10200</v>
      </c>
      <c r="L44" s="28">
        <v>10200</v>
      </c>
      <c r="M44" s="28">
        <v>10200</v>
      </c>
      <c r="N44" s="28">
        <f t="shared" si="2"/>
        <v>122400</v>
      </c>
    </row>
    <row r="45" spans="1:14" x14ac:dyDescent="0.3">
      <c r="A45" s="58" t="s">
        <v>191</v>
      </c>
      <c r="B45" s="28">
        <v>10000</v>
      </c>
      <c r="C45" s="28">
        <v>10000</v>
      </c>
      <c r="D45" s="28">
        <v>10000</v>
      </c>
      <c r="E45" s="28">
        <v>10000</v>
      </c>
      <c r="F45" s="28">
        <v>10000</v>
      </c>
      <c r="G45" s="28">
        <v>10000</v>
      </c>
      <c r="H45" s="28">
        <v>10000</v>
      </c>
      <c r="I45" s="28">
        <v>10000</v>
      </c>
      <c r="J45" s="28">
        <v>10000</v>
      </c>
      <c r="K45" s="28">
        <v>10000</v>
      </c>
      <c r="L45" s="28">
        <v>10000</v>
      </c>
      <c r="M45" s="28">
        <v>10000</v>
      </c>
      <c r="N45" s="28">
        <f t="shared" si="2"/>
        <v>120000</v>
      </c>
    </row>
    <row r="46" spans="1:14" x14ac:dyDescent="0.3">
      <c r="A46" s="58" t="s">
        <v>192</v>
      </c>
      <c r="B46" s="28">
        <v>2000</v>
      </c>
      <c r="C46" s="28">
        <v>2000</v>
      </c>
      <c r="D46" s="28">
        <v>2000</v>
      </c>
      <c r="E46" s="28">
        <v>2000</v>
      </c>
      <c r="F46" s="28">
        <v>2000</v>
      </c>
      <c r="G46" s="28">
        <v>2000</v>
      </c>
      <c r="H46" s="28">
        <v>2000</v>
      </c>
      <c r="I46" s="28">
        <v>2000</v>
      </c>
      <c r="J46" s="28">
        <v>2000</v>
      </c>
      <c r="K46" s="28">
        <v>2000</v>
      </c>
      <c r="L46" s="28">
        <v>2000</v>
      </c>
      <c r="M46" s="28">
        <v>2000</v>
      </c>
      <c r="N46" s="28">
        <f t="shared" si="2"/>
        <v>24000</v>
      </c>
    </row>
    <row r="47" spans="1:14" x14ac:dyDescent="0.3">
      <c r="A47" s="58" t="s">
        <v>193</v>
      </c>
      <c r="B47" s="28">
        <f>16000/12</f>
        <v>1333.3333333333333</v>
      </c>
      <c r="C47" s="28">
        <f t="shared" ref="C47:M47" si="6">16000/12</f>
        <v>1333.3333333333333</v>
      </c>
      <c r="D47" s="28">
        <f t="shared" si="6"/>
        <v>1333.3333333333333</v>
      </c>
      <c r="E47" s="28">
        <f t="shared" si="6"/>
        <v>1333.3333333333333</v>
      </c>
      <c r="F47" s="28">
        <f t="shared" si="6"/>
        <v>1333.3333333333333</v>
      </c>
      <c r="G47" s="28">
        <f t="shared" si="6"/>
        <v>1333.3333333333333</v>
      </c>
      <c r="H47" s="28">
        <f t="shared" si="6"/>
        <v>1333.3333333333333</v>
      </c>
      <c r="I47" s="28">
        <f t="shared" si="6"/>
        <v>1333.3333333333333</v>
      </c>
      <c r="J47" s="28">
        <f t="shared" si="6"/>
        <v>1333.3333333333333</v>
      </c>
      <c r="K47" s="28">
        <f t="shared" si="6"/>
        <v>1333.3333333333333</v>
      </c>
      <c r="L47" s="28">
        <f t="shared" si="6"/>
        <v>1333.3333333333333</v>
      </c>
      <c r="M47" s="28">
        <f t="shared" si="6"/>
        <v>1333.3333333333333</v>
      </c>
      <c r="N47" s="28">
        <f t="shared" si="2"/>
        <v>16000.000000000002</v>
      </c>
    </row>
    <row r="48" spans="1:14" x14ac:dyDescent="0.3">
      <c r="A48" s="31" t="s">
        <v>27</v>
      </c>
      <c r="B48" s="28">
        <v>625</v>
      </c>
      <c r="C48" s="28">
        <v>625</v>
      </c>
      <c r="D48" s="28">
        <v>625</v>
      </c>
      <c r="E48" s="28">
        <v>625</v>
      </c>
      <c r="F48" s="28">
        <v>625</v>
      </c>
      <c r="G48" s="28">
        <v>625</v>
      </c>
      <c r="H48" s="28">
        <v>625</v>
      </c>
      <c r="I48" s="28">
        <v>625</v>
      </c>
      <c r="J48" s="28">
        <v>625</v>
      </c>
      <c r="K48" s="28">
        <v>625</v>
      </c>
      <c r="L48" s="28">
        <v>625</v>
      </c>
      <c r="M48" s="28">
        <v>625</v>
      </c>
      <c r="N48" s="28">
        <f t="shared" si="2"/>
        <v>7500</v>
      </c>
    </row>
    <row r="49" spans="1:14" x14ac:dyDescent="0.3">
      <c r="A49" s="58" t="s">
        <v>194</v>
      </c>
      <c r="B49" s="28">
        <v>510</v>
      </c>
      <c r="C49" s="28">
        <v>510</v>
      </c>
      <c r="D49" s="28">
        <v>510</v>
      </c>
      <c r="E49" s="28">
        <v>510</v>
      </c>
      <c r="F49" s="28">
        <v>510</v>
      </c>
      <c r="G49" s="28">
        <v>510</v>
      </c>
      <c r="H49" s="28">
        <v>510</v>
      </c>
      <c r="I49" s="28">
        <v>510</v>
      </c>
      <c r="J49" s="28">
        <v>510</v>
      </c>
      <c r="K49" s="28">
        <v>510</v>
      </c>
      <c r="L49" s="28">
        <v>510</v>
      </c>
      <c r="M49" s="28">
        <v>510</v>
      </c>
      <c r="N49" s="28">
        <f t="shared" si="2"/>
        <v>6120</v>
      </c>
    </row>
    <row r="50" spans="1:14" x14ac:dyDescent="0.3">
      <c r="A50" s="32" t="s">
        <v>28</v>
      </c>
      <c r="B50" s="33">
        <f t="shared" ref="B50:N50" si="7">SUM(B13:B49)</f>
        <v>106509.99999999999</v>
      </c>
      <c r="C50" s="33">
        <f t="shared" si="7"/>
        <v>112409.99999999999</v>
      </c>
      <c r="D50" s="33">
        <f t="shared" si="7"/>
        <v>108549.99999999999</v>
      </c>
      <c r="E50" s="33">
        <f t="shared" si="7"/>
        <v>128309.99999999999</v>
      </c>
      <c r="F50" s="33">
        <f t="shared" si="7"/>
        <v>151510</v>
      </c>
      <c r="G50" s="33">
        <f t="shared" si="7"/>
        <v>106349.99999999999</v>
      </c>
      <c r="H50" s="33">
        <f t="shared" si="7"/>
        <v>131510</v>
      </c>
      <c r="I50" s="33">
        <f t="shared" si="7"/>
        <v>104309.99999999999</v>
      </c>
      <c r="J50" s="33">
        <f t="shared" si="7"/>
        <v>113649.99999999999</v>
      </c>
      <c r="K50" s="33">
        <f t="shared" si="7"/>
        <v>117309.99999999999</v>
      </c>
      <c r="L50" s="33">
        <f t="shared" si="7"/>
        <v>109509.99999999999</v>
      </c>
      <c r="M50" s="33">
        <f t="shared" si="7"/>
        <v>106349.99999999999</v>
      </c>
      <c r="N50" s="33">
        <f t="shared" si="7"/>
        <v>1396280</v>
      </c>
    </row>
    <row r="51" spans="1:14" ht="15" thickBot="1" x14ac:dyDescent="0.35">
      <c r="A51" s="32" t="s">
        <v>198</v>
      </c>
      <c r="B51" s="34">
        <f>B10-B50</f>
        <v>91690.000000000015</v>
      </c>
      <c r="C51" s="34">
        <f t="shared" ref="C51:M51" si="8">C10-C50</f>
        <v>-909.99999999998545</v>
      </c>
      <c r="D51" s="34">
        <f t="shared" si="8"/>
        <v>2950.0000000000146</v>
      </c>
      <c r="E51" s="34">
        <f t="shared" si="8"/>
        <v>-16809.999999999985</v>
      </c>
      <c r="F51" s="34">
        <f t="shared" si="8"/>
        <v>-14510</v>
      </c>
      <c r="G51" s="34">
        <f t="shared" si="8"/>
        <v>6150.0000000000146</v>
      </c>
      <c r="H51" s="34">
        <f t="shared" si="8"/>
        <v>-20010</v>
      </c>
      <c r="I51" s="34">
        <f t="shared" si="8"/>
        <v>7190.0000000000146</v>
      </c>
      <c r="J51" s="34">
        <f t="shared" si="8"/>
        <v>7850.0000000000146</v>
      </c>
      <c r="K51" s="34">
        <f t="shared" si="8"/>
        <v>4190.0000000000146</v>
      </c>
      <c r="L51" s="34">
        <f t="shared" si="8"/>
        <v>1990.0000000000146</v>
      </c>
      <c r="M51" s="34">
        <f t="shared" si="8"/>
        <v>6150.0000000000146</v>
      </c>
      <c r="N51" s="34">
        <f>SUM(B51:M51)</f>
        <v>75920.000000000146</v>
      </c>
    </row>
    <row r="52" spans="1:14" ht="15" thickTop="1" x14ac:dyDescent="0.3">
      <c r="A52" s="35" t="s">
        <v>199</v>
      </c>
      <c r="B52" s="36">
        <f>B51</f>
        <v>91690.000000000015</v>
      </c>
      <c r="C52" s="36">
        <f t="shared" ref="C52:M52" si="9">C51+B52</f>
        <v>90780.000000000029</v>
      </c>
      <c r="D52" s="36">
        <f t="shared" si="9"/>
        <v>93730.000000000044</v>
      </c>
      <c r="E52" s="36">
        <f t="shared" si="9"/>
        <v>76920.000000000058</v>
      </c>
      <c r="F52" s="36">
        <f t="shared" si="9"/>
        <v>62410.000000000058</v>
      </c>
      <c r="G52" s="36">
        <f t="shared" si="9"/>
        <v>68560.000000000073</v>
      </c>
      <c r="H52" s="36">
        <f t="shared" si="9"/>
        <v>48550.000000000073</v>
      </c>
      <c r="I52" s="36">
        <f t="shared" si="9"/>
        <v>55740.000000000087</v>
      </c>
      <c r="J52" s="36">
        <f t="shared" si="9"/>
        <v>63590.000000000102</v>
      </c>
      <c r="K52" s="36">
        <f t="shared" si="9"/>
        <v>67780.000000000116</v>
      </c>
      <c r="L52" s="36">
        <f t="shared" si="9"/>
        <v>69770.000000000131</v>
      </c>
      <c r="M52" s="36">
        <f t="shared" si="9"/>
        <v>75920.000000000146</v>
      </c>
      <c r="N52" s="37"/>
    </row>
    <row r="53" spans="1:14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</sheetData>
  <mergeCells count="2">
    <mergeCell ref="A1:N1"/>
    <mergeCell ref="A2:N2"/>
  </mergeCells>
  <phoneticPr fontId="1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T53"/>
  <sheetViews>
    <sheetView zoomScaleNormal="100" workbookViewId="0">
      <selection sqref="A1:B1"/>
    </sheetView>
  </sheetViews>
  <sheetFormatPr defaultRowHeight="14.5" x14ac:dyDescent="0.3"/>
  <cols>
    <col min="1" max="1" width="23.59765625" bestFit="1" customWidth="1"/>
    <col min="2" max="2" width="7.19921875" customWidth="1"/>
    <col min="4" max="8" width="6" bestFit="1" customWidth="1"/>
    <col min="9" max="9" width="36.59765625" bestFit="1" customWidth="1"/>
    <col min="10" max="10" width="10.5" customWidth="1"/>
    <col min="11" max="21" width="8.19921875" customWidth="1"/>
    <col min="22" max="22" width="6" customWidth="1"/>
    <col min="23" max="23" width="10.5" customWidth="1"/>
    <col min="24" max="24" width="6" customWidth="1"/>
    <col min="25" max="25" width="10.5" customWidth="1"/>
    <col min="26" max="27" width="6" customWidth="1"/>
    <col min="28" max="29" width="6.3984375" bestFit="1" customWidth="1"/>
    <col min="30" max="31" width="6.09765625" bestFit="1" customWidth="1"/>
    <col min="32" max="34" width="6.3984375" bestFit="1" customWidth="1"/>
    <col min="35" max="35" width="10.59765625" bestFit="1" customWidth="1"/>
    <col min="36" max="36" width="9.296875" customWidth="1"/>
    <col min="37" max="37" width="8.19921875" customWidth="1"/>
    <col min="38" max="38" width="7.5" bestFit="1" customWidth="1"/>
    <col min="39" max="39" width="8.19921875" style="2" bestFit="1" customWidth="1"/>
    <col min="40" max="40" width="10.59765625" bestFit="1" customWidth="1"/>
    <col min="42" max="43" width="8.8984375" bestFit="1" customWidth="1"/>
    <col min="44" max="44" width="11" bestFit="1" customWidth="1"/>
    <col min="45" max="45" width="10.09765625" customWidth="1"/>
    <col min="46" max="46" width="18" customWidth="1"/>
  </cols>
  <sheetData>
    <row r="1" spans="1:46" ht="14.5" customHeight="1" x14ac:dyDescent="0.3">
      <c r="A1" s="196" t="s">
        <v>347</v>
      </c>
      <c r="B1" s="196"/>
      <c r="C1" s="40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K1" s="189" t="s">
        <v>297</v>
      </c>
      <c r="L1" s="196" t="s">
        <v>298</v>
      </c>
      <c r="M1" s="196"/>
      <c r="N1" s="187" t="s">
        <v>299</v>
      </c>
      <c r="O1" s="187" t="s">
        <v>300</v>
      </c>
      <c r="P1" s="187" t="s">
        <v>301</v>
      </c>
      <c r="Q1" s="187" t="s">
        <v>302</v>
      </c>
      <c r="R1" s="187" t="s">
        <v>303</v>
      </c>
      <c r="S1" s="187" t="s">
        <v>304</v>
      </c>
      <c r="T1" s="187" t="s">
        <v>305</v>
      </c>
      <c r="U1" s="189" t="s">
        <v>306</v>
      </c>
      <c r="V1" s="196" t="s">
        <v>307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7" t="s">
        <v>154</v>
      </c>
      <c r="AL1" s="189" t="s">
        <v>308</v>
      </c>
      <c r="AM1" s="189" t="s">
        <v>309</v>
      </c>
      <c r="AN1" s="189" t="s">
        <v>310</v>
      </c>
      <c r="AO1" s="40"/>
      <c r="AP1" s="203" t="s">
        <v>140</v>
      </c>
      <c r="AQ1" s="203"/>
      <c r="AR1" s="203" t="s">
        <v>141</v>
      </c>
      <c r="AS1" s="203"/>
      <c r="AT1" s="131" t="s">
        <v>153</v>
      </c>
    </row>
    <row r="2" spans="1:46" x14ac:dyDescent="0.3">
      <c r="A2" s="100" t="s">
        <v>348</v>
      </c>
      <c r="B2" s="101" t="s">
        <v>349</v>
      </c>
      <c r="C2" s="40"/>
      <c r="D2" s="192"/>
      <c r="E2" s="192"/>
      <c r="F2" s="192"/>
      <c r="G2" s="192"/>
      <c r="H2" s="192"/>
      <c r="I2" s="192"/>
      <c r="J2" s="190"/>
      <c r="K2" s="190"/>
      <c r="L2" s="91" t="s">
        <v>315</v>
      </c>
      <c r="M2" s="91" t="s">
        <v>316</v>
      </c>
      <c r="N2" s="188"/>
      <c r="O2" s="188"/>
      <c r="P2" s="188"/>
      <c r="Q2" s="188"/>
      <c r="R2" s="188"/>
      <c r="S2" s="188"/>
      <c r="T2" s="188"/>
      <c r="U2" s="190"/>
      <c r="V2" s="91" t="s">
        <v>317</v>
      </c>
      <c r="W2" s="91" t="s">
        <v>318</v>
      </c>
      <c r="X2" s="91" t="s">
        <v>319</v>
      </c>
      <c r="Y2" s="91" t="s">
        <v>320</v>
      </c>
      <c r="Z2" s="91" t="s">
        <v>321</v>
      </c>
      <c r="AA2" s="91" t="s">
        <v>322</v>
      </c>
      <c r="AB2" s="91" t="s">
        <v>323</v>
      </c>
      <c r="AC2" s="91" t="s">
        <v>324</v>
      </c>
      <c r="AD2" s="91" t="s">
        <v>325</v>
      </c>
      <c r="AE2" s="91" t="s">
        <v>326</v>
      </c>
      <c r="AF2" s="91" t="s">
        <v>327</v>
      </c>
      <c r="AG2" s="91" t="s">
        <v>328</v>
      </c>
      <c r="AH2" s="91" t="s">
        <v>329</v>
      </c>
      <c r="AI2" s="91" t="s">
        <v>330</v>
      </c>
      <c r="AJ2" s="91" t="s">
        <v>331</v>
      </c>
      <c r="AK2" s="198"/>
      <c r="AL2" s="190"/>
      <c r="AM2" s="190"/>
      <c r="AN2" s="190"/>
      <c r="AO2" s="40"/>
      <c r="AP2" s="87" t="s">
        <v>138</v>
      </c>
      <c r="AQ2" s="87" t="s">
        <v>139</v>
      </c>
      <c r="AR2" s="87" t="s">
        <v>138</v>
      </c>
      <c r="AS2" s="87" t="s">
        <v>139</v>
      </c>
      <c r="AT2" s="87" t="s">
        <v>138</v>
      </c>
    </row>
    <row r="3" spans="1:46" x14ac:dyDescent="0.3">
      <c r="A3" s="88" t="s">
        <v>332</v>
      </c>
      <c r="B3" s="132">
        <v>0.03</v>
      </c>
      <c r="C3" s="40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40"/>
      <c r="J3" s="133"/>
      <c r="K3" s="133"/>
      <c r="L3" s="136">
        <v>54</v>
      </c>
      <c r="M3" s="136">
        <v>84</v>
      </c>
      <c r="N3" s="136">
        <v>2</v>
      </c>
      <c r="O3" s="136">
        <v>5</v>
      </c>
      <c r="P3" s="136"/>
      <c r="Q3" s="136"/>
      <c r="R3" s="136"/>
      <c r="S3" s="136"/>
      <c r="T3" s="133"/>
      <c r="U3" s="136">
        <f>SUM(L3:T3)</f>
        <v>145</v>
      </c>
      <c r="V3" s="136">
        <v>38.4</v>
      </c>
      <c r="W3" s="136">
        <v>5</v>
      </c>
      <c r="X3" s="136">
        <v>12</v>
      </c>
      <c r="Y3" s="136">
        <v>3</v>
      </c>
      <c r="Z3" s="136">
        <v>22.8</v>
      </c>
      <c r="AA3" s="136">
        <v>4.08</v>
      </c>
      <c r="AB3" s="136">
        <v>4.5</v>
      </c>
      <c r="AC3" s="136">
        <v>13.6</v>
      </c>
      <c r="AD3" s="136">
        <v>4.88</v>
      </c>
      <c r="AE3" s="136">
        <v>3.8</v>
      </c>
      <c r="AF3" s="136">
        <v>13</v>
      </c>
      <c r="AG3" s="136">
        <v>12</v>
      </c>
      <c r="AH3" s="136">
        <v>6.2</v>
      </c>
      <c r="AI3" s="136"/>
      <c r="AJ3" s="136"/>
      <c r="AK3" s="136"/>
      <c r="AL3" s="136">
        <f>SUM(V3:AK3)</f>
        <v>143.26</v>
      </c>
      <c r="AM3" s="137">
        <f t="shared" ref="AM3:AM53" si="0">U3-AL3</f>
        <v>1.7400000000000091</v>
      </c>
      <c r="AN3" s="137">
        <v>55</v>
      </c>
      <c r="AO3" s="40"/>
      <c r="AP3" s="123"/>
      <c r="AQ3" s="123"/>
      <c r="AR3" s="123">
        <v>90</v>
      </c>
      <c r="AS3" s="123">
        <v>90</v>
      </c>
      <c r="AT3" s="123">
        <v>50</v>
      </c>
    </row>
    <row r="4" spans="1:46" x14ac:dyDescent="0.3">
      <c r="A4" s="88" t="s">
        <v>333</v>
      </c>
      <c r="B4" s="102">
        <v>0.02</v>
      </c>
      <c r="C4" s="40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40"/>
      <c r="J4" s="141">
        <f>AN3</f>
        <v>55</v>
      </c>
      <c r="K4" s="144">
        <v>-0.2</v>
      </c>
      <c r="L4" s="138">
        <f t="shared" ref="L4:L27" si="1">L3*(1+$B$4)</f>
        <v>55.08</v>
      </c>
      <c r="M4" s="138">
        <f t="shared" ref="M4:M27" si="2">M3*(1+$B$5)</f>
        <v>84.84</v>
      </c>
      <c r="N4" s="138">
        <f>J4*K4</f>
        <v>-11</v>
      </c>
      <c r="O4" s="138">
        <f>O3*(1+$B$3)</f>
        <v>5.15</v>
      </c>
      <c r="P4" s="138"/>
      <c r="Q4" s="138"/>
      <c r="R4" s="138"/>
      <c r="S4" s="138"/>
      <c r="T4" s="134"/>
      <c r="U4" s="138">
        <f t="shared" ref="U4:U52" si="3">SUM(L4:T4)</f>
        <v>134.07000000000002</v>
      </c>
      <c r="V4" s="143">
        <f t="shared" ref="V4:V9" si="4" xml:space="preserve"> PMT(3%/12, 180, -PV(2%/12, 180, -3.2))*12</f>
        <v>41.208976605432774</v>
      </c>
      <c r="W4" s="138">
        <f>W3*(1+$B$3)</f>
        <v>5.15</v>
      </c>
      <c r="X4" s="138">
        <v>12</v>
      </c>
      <c r="Y4" s="138">
        <f>Y3*(1+$B$3)</f>
        <v>3.09</v>
      </c>
      <c r="Z4" s="138">
        <f>Z3*(1+$B$3)</f>
        <v>23.484000000000002</v>
      </c>
      <c r="AA4" s="138">
        <v>4.08</v>
      </c>
      <c r="AB4" s="138">
        <v>4.7</v>
      </c>
      <c r="AC4" s="138">
        <v>13.6</v>
      </c>
      <c r="AD4" s="138">
        <f>AD3*(1+$B$3)</f>
        <v>5.0263999999999998</v>
      </c>
      <c r="AE4" s="138">
        <f t="shared" ref="AD4:AF19" si="5">AE3*(1+$B$3)</f>
        <v>3.9139999999999997</v>
      </c>
      <c r="AF4" s="138">
        <f>AF3*(1+$B$3)</f>
        <v>13.39</v>
      </c>
      <c r="AG4" s="138">
        <v>12</v>
      </c>
      <c r="AH4" s="138">
        <f>AH3*(1+$B$3)</f>
        <v>6.3860000000000001</v>
      </c>
      <c r="AI4" s="138"/>
      <c r="AJ4" s="138"/>
      <c r="AK4" s="145">
        <v>-5</v>
      </c>
      <c r="AL4" s="138">
        <f t="shared" ref="AL4:AL53" si="6">SUM(V4:AK4)</f>
        <v>143.02937660543276</v>
      </c>
      <c r="AM4" s="139">
        <f>U4-AL4</f>
        <v>-8.9593766054327375</v>
      </c>
      <c r="AN4" s="139">
        <f t="shared" ref="AN4:AN53" si="7">J4+AM4</f>
        <v>46.040623394567262</v>
      </c>
      <c r="AO4" s="40"/>
      <c r="AP4" s="125">
        <f t="shared" ref="AP4:AP27" si="8">L4*0.06</f>
        <v>3.3047999999999997</v>
      </c>
      <c r="AQ4" s="125">
        <f>3.82*12*0.06</f>
        <v>2.7503999999999995</v>
      </c>
      <c r="AR4" s="125">
        <f t="shared" ref="AR4:AR27" si="9">AR3*(1+$B$6)+AP4</f>
        <v>96.904800000000009</v>
      </c>
      <c r="AS4" s="125">
        <f t="shared" ref="AS4:AS27" si="10">AS3*(1+$B$6)+AQ4</f>
        <v>96.350400000000008</v>
      </c>
      <c r="AT4" s="125">
        <f t="shared" ref="AT4:AT13" si="11">AT3*(1+$B$7) + 6</f>
        <v>58</v>
      </c>
    </row>
    <row r="5" spans="1:46" x14ac:dyDescent="0.3">
      <c r="A5" s="88" t="s">
        <v>334</v>
      </c>
      <c r="B5" s="102">
        <v>0.01</v>
      </c>
      <c r="C5" s="40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40"/>
      <c r="J5" s="141">
        <f>AN4</f>
        <v>46.040623394567262</v>
      </c>
      <c r="K5" s="134">
        <v>0.04</v>
      </c>
      <c r="L5" s="138">
        <f t="shared" si="1"/>
        <v>56.181599999999996</v>
      </c>
      <c r="M5" s="138">
        <f t="shared" si="2"/>
        <v>85.688400000000001</v>
      </c>
      <c r="N5" s="138">
        <f>J5*K5</f>
        <v>1.8416249357826906</v>
      </c>
      <c r="O5" s="138">
        <f t="shared" ref="O5:O20" si="12">O4*(1+$B$3)</f>
        <v>5.3045000000000009</v>
      </c>
      <c r="P5" s="138"/>
      <c r="Q5" s="138"/>
      <c r="R5" s="138"/>
      <c r="S5" s="138"/>
      <c r="T5" s="134"/>
      <c r="U5" s="138">
        <f t="shared" si="3"/>
        <v>149.0161249357827</v>
      </c>
      <c r="V5" s="143">
        <f t="shared" si="4"/>
        <v>41.208976605432774</v>
      </c>
      <c r="W5" s="138">
        <f>W4*(1+$B$3)</f>
        <v>5.3045000000000009</v>
      </c>
      <c r="X5" s="138">
        <v>12</v>
      </c>
      <c r="Y5" s="138">
        <f t="shared" ref="Y5:Z8" si="13">Y4*(1+$B$3)</f>
        <v>3.1827000000000001</v>
      </c>
      <c r="Z5" s="138">
        <f t="shared" si="13"/>
        <v>24.188520000000004</v>
      </c>
      <c r="AA5" s="138">
        <v>4.08</v>
      </c>
      <c r="AB5" s="138">
        <v>4.9000000000000004</v>
      </c>
      <c r="AC5" s="138">
        <v>13.6</v>
      </c>
      <c r="AD5" s="138">
        <f t="shared" si="5"/>
        <v>5.1771919999999998</v>
      </c>
      <c r="AE5" s="138">
        <f t="shared" si="5"/>
        <v>4.0314199999999998</v>
      </c>
      <c r="AF5" s="138">
        <f t="shared" si="5"/>
        <v>13.791700000000001</v>
      </c>
      <c r="AG5" s="138">
        <v>12</v>
      </c>
      <c r="AH5" s="138">
        <f t="shared" ref="AH5:AH23" si="14">AH4*(1+$B$3)</f>
        <v>6.5775800000000002</v>
      </c>
      <c r="AI5" s="138"/>
      <c r="AJ5" s="138"/>
      <c r="AK5" s="145">
        <v>-5</v>
      </c>
      <c r="AL5" s="138">
        <f t="shared" si="6"/>
        <v>145.04258860543277</v>
      </c>
      <c r="AM5" s="139">
        <f t="shared" si="0"/>
        <v>3.9735363303499298</v>
      </c>
      <c r="AN5" s="139">
        <f t="shared" si="7"/>
        <v>50.014159724917192</v>
      </c>
      <c r="AO5" s="40"/>
      <c r="AP5" s="125">
        <f t="shared" si="8"/>
        <v>3.3708959999999997</v>
      </c>
      <c r="AQ5" s="125">
        <f t="shared" ref="AQ5:AQ27" si="15">3.82*12*0.06</f>
        <v>2.7503999999999995</v>
      </c>
      <c r="AR5" s="125">
        <f t="shared" si="9"/>
        <v>104.15188800000001</v>
      </c>
      <c r="AS5" s="125">
        <f t="shared" si="10"/>
        <v>102.95481600000001</v>
      </c>
      <c r="AT5" s="125">
        <f t="shared" si="11"/>
        <v>66.319999999999993</v>
      </c>
    </row>
    <row r="6" spans="1:46" x14ac:dyDescent="0.3">
      <c r="A6" s="88" t="s">
        <v>335</v>
      </c>
      <c r="B6" s="102">
        <v>0.04</v>
      </c>
      <c r="C6" s="40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40"/>
      <c r="J6" s="141">
        <f>AN5</f>
        <v>50.014159724917192</v>
      </c>
      <c r="K6" s="134">
        <v>0.04</v>
      </c>
      <c r="L6" s="138">
        <f t="shared" si="1"/>
        <v>57.305231999999997</v>
      </c>
      <c r="M6" s="138">
        <f t="shared" si="2"/>
        <v>86.545283999999995</v>
      </c>
      <c r="N6" s="138">
        <f>J6*K6</f>
        <v>2.0005663889966878</v>
      </c>
      <c r="O6" s="138">
        <f t="shared" si="12"/>
        <v>5.4636350000000009</v>
      </c>
      <c r="P6" s="138"/>
      <c r="Q6" s="138"/>
      <c r="R6" s="138"/>
      <c r="S6" s="138"/>
      <c r="T6" s="134"/>
      <c r="U6" s="138">
        <f t="shared" si="3"/>
        <v>151.31471738899668</v>
      </c>
      <c r="V6" s="143">
        <f t="shared" si="4"/>
        <v>41.208976605432774</v>
      </c>
      <c r="W6" s="138">
        <f>W5*(1+$B$3)</f>
        <v>5.4636350000000009</v>
      </c>
      <c r="X6" s="138">
        <v>12</v>
      </c>
      <c r="Y6" s="138">
        <f t="shared" si="13"/>
        <v>3.278181</v>
      </c>
      <c r="Z6" s="138">
        <f t="shared" si="13"/>
        <v>24.914175600000004</v>
      </c>
      <c r="AA6" s="138">
        <v>4.08</v>
      </c>
      <c r="AB6" s="138">
        <v>5.3</v>
      </c>
      <c r="AC6" s="138">
        <v>13.6</v>
      </c>
      <c r="AD6" s="138">
        <f t="shared" si="5"/>
        <v>5.3325077599999995</v>
      </c>
      <c r="AE6" s="138">
        <f t="shared" si="5"/>
        <v>4.1523626</v>
      </c>
      <c r="AF6" s="138">
        <f t="shared" si="5"/>
        <v>14.205451</v>
      </c>
      <c r="AG6" s="138">
        <v>12</v>
      </c>
      <c r="AH6" s="138">
        <f t="shared" si="14"/>
        <v>6.7749074</v>
      </c>
      <c r="AI6" s="138"/>
      <c r="AJ6" s="138"/>
      <c r="AK6" s="145">
        <v>-5</v>
      </c>
      <c r="AL6" s="138">
        <f t="shared" si="6"/>
        <v>147.31019696543277</v>
      </c>
      <c r="AM6" s="139">
        <f t="shared" si="0"/>
        <v>4.0045204235639176</v>
      </c>
      <c r="AN6" s="139">
        <f t="shared" si="7"/>
        <v>54.01868014848111</v>
      </c>
      <c r="AO6" s="40"/>
      <c r="AP6" s="125">
        <f t="shared" si="8"/>
        <v>3.4383139199999997</v>
      </c>
      <c r="AQ6" s="125">
        <f t="shared" si="15"/>
        <v>2.7503999999999995</v>
      </c>
      <c r="AR6" s="125">
        <f t="shared" si="9"/>
        <v>111.75627744000002</v>
      </c>
      <c r="AS6" s="125">
        <f t="shared" si="10"/>
        <v>109.82340864000001</v>
      </c>
      <c r="AT6" s="125">
        <f t="shared" si="11"/>
        <v>74.972799999999992</v>
      </c>
    </row>
    <row r="7" spans="1:46" x14ac:dyDescent="0.3">
      <c r="A7" s="95" t="s">
        <v>336</v>
      </c>
      <c r="B7" s="103">
        <v>0.04</v>
      </c>
      <c r="C7" s="40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40" t="s">
        <v>136</v>
      </c>
      <c r="J7" s="141">
        <f>AN6</f>
        <v>54.01868014848111</v>
      </c>
      <c r="K7" s="134">
        <v>0.04</v>
      </c>
      <c r="L7" s="138">
        <f t="shared" si="1"/>
        <v>58.451336640000001</v>
      </c>
      <c r="M7" s="138">
        <f t="shared" si="2"/>
        <v>87.410736839999998</v>
      </c>
      <c r="N7" s="138">
        <f>J7*K7</f>
        <v>2.1607472059392445</v>
      </c>
      <c r="O7" s="138">
        <f t="shared" si="12"/>
        <v>5.6275440500000009</v>
      </c>
      <c r="P7" s="138"/>
      <c r="Q7" s="138"/>
      <c r="R7" s="138"/>
      <c r="S7" s="138"/>
      <c r="T7" s="134"/>
      <c r="U7" s="138">
        <f t="shared" si="3"/>
        <v>153.65036473593923</v>
      </c>
      <c r="V7" s="143">
        <f t="shared" si="4"/>
        <v>41.208976605432774</v>
      </c>
      <c r="W7" s="138">
        <f>W6*(1+$B$3)</f>
        <v>5.6275440500000009</v>
      </c>
      <c r="X7" s="138">
        <v>12</v>
      </c>
      <c r="Y7" s="138">
        <f t="shared" si="13"/>
        <v>3.3765264300000002</v>
      </c>
      <c r="Z7" s="138">
        <f t="shared" si="13"/>
        <v>25.661600868000004</v>
      </c>
      <c r="AA7" s="138">
        <v>4.08</v>
      </c>
      <c r="AB7" s="138">
        <v>5.5</v>
      </c>
      <c r="AC7" s="138">
        <v>13.6</v>
      </c>
      <c r="AD7" s="138">
        <f t="shared" si="5"/>
        <v>5.4924829927999994</v>
      </c>
      <c r="AE7" s="138">
        <f t="shared" si="5"/>
        <v>4.2769334780000001</v>
      </c>
      <c r="AF7" s="138">
        <f t="shared" si="5"/>
        <v>14.63161453</v>
      </c>
      <c r="AG7" s="138">
        <v>12</v>
      </c>
      <c r="AH7" s="138">
        <f t="shared" si="14"/>
        <v>6.9781546219999999</v>
      </c>
      <c r="AI7" s="138"/>
      <c r="AJ7" s="143">
        <f>理財目標費用終值!E16</f>
        <v>22.510176199999997</v>
      </c>
      <c r="AK7" s="145">
        <v>-5</v>
      </c>
      <c r="AL7" s="138">
        <f t="shared" si="6"/>
        <v>171.94400977623278</v>
      </c>
      <c r="AM7" s="139">
        <f t="shared" si="0"/>
        <v>-18.293645040293541</v>
      </c>
      <c r="AN7" s="139">
        <f t="shared" si="7"/>
        <v>35.725035108187569</v>
      </c>
      <c r="AO7" s="40"/>
      <c r="AP7" s="125">
        <f t="shared" si="8"/>
        <v>3.5070801983999997</v>
      </c>
      <c r="AQ7" s="125">
        <f t="shared" si="15"/>
        <v>2.7503999999999995</v>
      </c>
      <c r="AR7" s="125">
        <f t="shared" si="9"/>
        <v>119.73360873600002</v>
      </c>
      <c r="AS7" s="125">
        <f t="shared" si="10"/>
        <v>116.96674498560002</v>
      </c>
      <c r="AT7" s="125">
        <f t="shared" si="11"/>
        <v>83.971711999999997</v>
      </c>
    </row>
    <row r="8" spans="1:46" x14ac:dyDescent="0.3">
      <c r="C8" s="40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40" t="s">
        <v>144</v>
      </c>
      <c r="J8" s="141">
        <f>AN7</f>
        <v>35.725035108187569</v>
      </c>
      <c r="K8" s="134">
        <v>0.04</v>
      </c>
      <c r="L8" s="138">
        <f t="shared" si="1"/>
        <v>59.6203633728</v>
      </c>
      <c r="M8" s="138">
        <f t="shared" si="2"/>
        <v>88.284844208400003</v>
      </c>
      <c r="N8" s="138">
        <f>J8*K8</f>
        <v>1.4290014043275028</v>
      </c>
      <c r="O8" s="138">
        <f t="shared" si="12"/>
        <v>5.796370371500001</v>
      </c>
      <c r="P8" s="138"/>
      <c r="Q8" s="138"/>
      <c r="R8" s="138"/>
      <c r="S8" s="138"/>
      <c r="T8" s="134"/>
      <c r="U8" s="138">
        <f t="shared" si="3"/>
        <v>155.13057935702747</v>
      </c>
      <c r="V8" s="143">
        <f t="shared" si="4"/>
        <v>41.208976605432774</v>
      </c>
      <c r="W8" s="138">
        <f>W7*(1+$B$3)</f>
        <v>5.796370371500001</v>
      </c>
      <c r="X8" s="138"/>
      <c r="Y8" s="138">
        <f t="shared" si="13"/>
        <v>3.4778222229000004</v>
      </c>
      <c r="Z8" s="138">
        <f>Z7*(1+$B$3)*(3/4)</f>
        <v>19.823586670530005</v>
      </c>
      <c r="AA8" s="138">
        <v>4.08</v>
      </c>
      <c r="AB8" s="138">
        <v>5.3</v>
      </c>
      <c r="AC8" s="138">
        <v>13.6</v>
      </c>
      <c r="AD8" s="138">
        <f t="shared" si="5"/>
        <v>5.6572574825839999</v>
      </c>
      <c r="AE8" s="138">
        <f t="shared" si="5"/>
        <v>4.4052414823400001</v>
      </c>
      <c r="AF8" s="138">
        <f>AF7*(1+$B$3)*0.5</f>
        <v>7.5352814829500003</v>
      </c>
      <c r="AG8" s="138">
        <v>12</v>
      </c>
      <c r="AH8" s="138">
        <f t="shared" si="14"/>
        <v>7.1874992606600001</v>
      </c>
      <c r="AI8" s="138"/>
      <c r="AJ8" s="143">
        <f>理財目標費用終值!E3</f>
        <v>28.981851857499997</v>
      </c>
      <c r="AK8" s="145">
        <v>-5</v>
      </c>
      <c r="AL8" s="138">
        <f t="shared" si="6"/>
        <v>154.05388743639679</v>
      </c>
      <c r="AM8" s="139">
        <f t="shared" si="0"/>
        <v>1.0766919206306795</v>
      </c>
      <c r="AN8" s="139">
        <f t="shared" si="7"/>
        <v>36.801727028818249</v>
      </c>
      <c r="AO8" s="40"/>
      <c r="AP8" s="125">
        <f t="shared" si="8"/>
        <v>3.5772218023679998</v>
      </c>
      <c r="AQ8" s="125">
        <f t="shared" si="15"/>
        <v>2.7503999999999995</v>
      </c>
      <c r="AR8" s="125">
        <f t="shared" si="9"/>
        <v>128.10017488780801</v>
      </c>
      <c r="AS8" s="125">
        <f t="shared" si="10"/>
        <v>124.39581478502402</v>
      </c>
      <c r="AT8" s="125">
        <f t="shared" si="11"/>
        <v>93.330580479999995</v>
      </c>
    </row>
    <row r="9" spans="1:46" x14ac:dyDescent="0.3">
      <c r="A9" s="40"/>
      <c r="B9" s="54"/>
      <c r="C9" s="40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40" t="s">
        <v>145</v>
      </c>
      <c r="J9" s="141">
        <f t="shared" ref="J9:J53" si="16">AN8</f>
        <v>36.801727028818249</v>
      </c>
      <c r="K9" s="134">
        <v>0.04</v>
      </c>
      <c r="L9" s="138">
        <f t="shared" si="1"/>
        <v>60.812770640255998</v>
      </c>
      <c r="M9" s="138">
        <f t="shared" si="2"/>
        <v>89.167692650484</v>
      </c>
      <c r="N9" s="138">
        <v>3</v>
      </c>
      <c r="O9" s="138">
        <f t="shared" si="12"/>
        <v>5.9702614826450011</v>
      </c>
      <c r="P9" s="138"/>
      <c r="Q9" s="138"/>
      <c r="R9" s="138"/>
      <c r="S9" s="138"/>
      <c r="T9" s="134"/>
      <c r="U9" s="138">
        <f t="shared" si="3"/>
        <v>158.95072477338502</v>
      </c>
      <c r="V9" s="143">
        <f t="shared" si="4"/>
        <v>41.208976605432774</v>
      </c>
      <c r="W9" s="138">
        <v>6</v>
      </c>
      <c r="X9" s="138"/>
      <c r="Y9" s="138">
        <v>4</v>
      </c>
      <c r="Z9" s="138">
        <f>Z8*(1+$B$3)</f>
        <v>20.418294270645905</v>
      </c>
      <c r="AA9" s="138">
        <v>4.08</v>
      </c>
      <c r="AB9" s="138">
        <v>5.6</v>
      </c>
      <c r="AC9" s="138">
        <v>13.6</v>
      </c>
      <c r="AD9" s="138">
        <f t="shared" si="5"/>
        <v>5.8269752070615199</v>
      </c>
      <c r="AE9" s="138">
        <f>AE8*(1+$B$3)</f>
        <v>4.5373987268102001</v>
      </c>
      <c r="AF9" s="138">
        <f>AF8*(1+$B$3)</f>
        <v>7.7613399274385007</v>
      </c>
      <c r="AG9" s="138">
        <v>12</v>
      </c>
      <c r="AH9" s="138">
        <f t="shared" si="14"/>
        <v>7.4031242384798004</v>
      </c>
      <c r="AI9" s="138"/>
      <c r="AJ9" s="143">
        <f>理財目標費用終值!E4</f>
        <v>29.851307413224998</v>
      </c>
      <c r="AK9" s="145">
        <v>-5</v>
      </c>
      <c r="AL9" s="138">
        <f t="shared" si="6"/>
        <v>157.28741638909366</v>
      </c>
      <c r="AM9" s="139">
        <f t="shared" si="0"/>
        <v>1.663308384291355</v>
      </c>
      <c r="AN9" s="139">
        <f t="shared" si="7"/>
        <v>38.465035413109604</v>
      </c>
      <c r="AO9" s="40"/>
      <c r="AP9" s="125">
        <f t="shared" si="8"/>
        <v>3.6487662384153596</v>
      </c>
      <c r="AQ9" s="125">
        <f t="shared" si="15"/>
        <v>2.7503999999999995</v>
      </c>
      <c r="AR9" s="125">
        <f t="shared" si="9"/>
        <v>136.8729481217357</v>
      </c>
      <c r="AS9" s="125">
        <f t="shared" si="10"/>
        <v>132.122047376425</v>
      </c>
      <c r="AT9" s="125">
        <f t="shared" si="11"/>
        <v>103.06380369919999</v>
      </c>
    </row>
    <row r="10" spans="1:46" x14ac:dyDescent="0.3">
      <c r="A10" s="40"/>
      <c r="B10" s="54"/>
      <c r="C10" s="40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40" t="s">
        <v>146</v>
      </c>
      <c r="J10" s="141">
        <f t="shared" si="16"/>
        <v>38.465035413109604</v>
      </c>
      <c r="K10" s="134">
        <v>0.04</v>
      </c>
      <c r="L10" s="138">
        <f t="shared" si="1"/>
        <v>62.029026053061116</v>
      </c>
      <c r="M10" s="138">
        <f t="shared" si="2"/>
        <v>90.059369576988843</v>
      </c>
      <c r="N10" s="138">
        <f>J10*K10</f>
        <v>1.5386014165243842</v>
      </c>
      <c r="O10" s="138">
        <f t="shared" si="12"/>
        <v>6.1493693271243517</v>
      </c>
      <c r="P10" s="138"/>
      <c r="Q10" s="138"/>
      <c r="R10" s="138"/>
      <c r="S10" s="138"/>
      <c r="T10" s="134"/>
      <c r="U10" s="138">
        <f t="shared" si="3"/>
        <v>159.77636637369869</v>
      </c>
      <c r="V10" s="143">
        <f t="shared" ref="V10:V18" si="17" xml:space="preserve"> PMT(3%/12, 180, -PV(2%/12, 180, -3.2))*12</f>
        <v>41.208976605432774</v>
      </c>
      <c r="W10" s="138">
        <f t="shared" ref="W10:W26" si="18">W9*(1+$B$3)</f>
        <v>6.18</v>
      </c>
      <c r="X10" s="138"/>
      <c r="Y10" s="138">
        <f>Y9*(1+$B$3)</f>
        <v>4.12</v>
      </c>
      <c r="Z10" s="138">
        <f>Z9*(1+$B$3)*(2/3)</f>
        <v>14.020562065843521</v>
      </c>
      <c r="AA10" s="138">
        <v>4.08</v>
      </c>
      <c r="AB10" s="138">
        <v>5.0999999999999996</v>
      </c>
      <c r="AC10" s="138">
        <v>13.6</v>
      </c>
      <c r="AD10" s="138">
        <f t="shared" si="5"/>
        <v>6.0017844632733661</v>
      </c>
      <c r="AE10" s="138">
        <f t="shared" si="5"/>
        <v>4.6735206886145058</v>
      </c>
      <c r="AF10" s="138"/>
      <c r="AG10" s="138">
        <v>12</v>
      </c>
      <c r="AH10" s="138">
        <f t="shared" si="14"/>
        <v>7.625217965634195</v>
      </c>
      <c r="AI10" s="138"/>
      <c r="AJ10" s="143">
        <f>理財目標費用終值!E5+理財目標費用終值!E8</f>
        <v>61.493693271243501</v>
      </c>
      <c r="AK10" s="145">
        <v>-5</v>
      </c>
      <c r="AL10" s="138">
        <f t="shared" si="6"/>
        <v>175.10375506004186</v>
      </c>
      <c r="AM10" s="139">
        <f t="shared" si="0"/>
        <v>-15.32738868634317</v>
      </c>
      <c r="AN10" s="139">
        <f t="shared" si="7"/>
        <v>23.137646726766434</v>
      </c>
      <c r="AO10" s="40"/>
      <c r="AP10" s="125">
        <f t="shared" si="8"/>
        <v>3.721741563183667</v>
      </c>
      <c r="AQ10" s="125">
        <f t="shared" si="15"/>
        <v>2.7503999999999995</v>
      </c>
      <c r="AR10" s="125">
        <f t="shared" si="9"/>
        <v>146.06960760978879</v>
      </c>
      <c r="AS10" s="125">
        <f t="shared" si="10"/>
        <v>140.15732927148201</v>
      </c>
      <c r="AT10" s="125">
        <f t="shared" si="11"/>
        <v>113.186355847168</v>
      </c>
    </row>
    <row r="11" spans="1:46" x14ac:dyDescent="0.3">
      <c r="A11" s="40"/>
      <c r="B11" s="54"/>
      <c r="C11" s="40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40" t="s">
        <v>147</v>
      </c>
      <c r="J11" s="141">
        <f t="shared" si="16"/>
        <v>23.137646726766434</v>
      </c>
      <c r="K11" s="134">
        <v>0.04</v>
      </c>
      <c r="L11" s="138">
        <f t="shared" si="1"/>
        <v>63.269606574122342</v>
      </c>
      <c r="M11" s="138">
        <f t="shared" si="2"/>
        <v>90.959963272758728</v>
      </c>
      <c r="N11" s="138">
        <f>J11*K11</f>
        <v>0.92550586907065735</v>
      </c>
      <c r="O11" s="138">
        <f t="shared" si="12"/>
        <v>6.3338504069380823</v>
      </c>
      <c r="P11" s="138"/>
      <c r="Q11" s="138"/>
      <c r="R11" s="138"/>
      <c r="S11" s="138"/>
      <c r="T11" s="134"/>
      <c r="U11" s="138">
        <f t="shared" si="3"/>
        <v>161.48892612288981</v>
      </c>
      <c r="V11" s="143">
        <f t="shared" si="17"/>
        <v>41.208976605432774</v>
      </c>
      <c r="W11" s="138">
        <f t="shared" si="18"/>
        <v>6.3654000000000002</v>
      </c>
      <c r="X11" s="138"/>
      <c r="Y11" s="138">
        <f>Y10*(1+$B$3)</f>
        <v>4.2435999999999998</v>
      </c>
      <c r="Z11" s="138">
        <f>Z10*(1+$B$3)</f>
        <v>14.441178927818827</v>
      </c>
      <c r="AA11" s="138">
        <v>4.08</v>
      </c>
      <c r="AB11" s="138">
        <v>5.8</v>
      </c>
      <c r="AC11" s="138">
        <v>13.6</v>
      </c>
      <c r="AD11" s="138">
        <f t="shared" si="5"/>
        <v>6.1818379971715673</v>
      </c>
      <c r="AE11" s="138">
        <f t="shared" si="5"/>
        <v>4.8137263092729414</v>
      </c>
      <c r="AF11" s="138"/>
      <c r="AG11" s="138">
        <v>12</v>
      </c>
      <c r="AH11" s="138">
        <f t="shared" si="14"/>
        <v>7.8539745046032214</v>
      </c>
      <c r="AI11" s="138"/>
      <c r="AJ11" s="143">
        <f>理財目標費用終值!E6+理財目標費用終值!E9+理財目標費用終值!E17</f>
        <v>88.673905697133108</v>
      </c>
      <c r="AK11" s="145">
        <v>-5</v>
      </c>
      <c r="AL11" s="138">
        <f t="shared" si="6"/>
        <v>204.26260004143242</v>
      </c>
      <c r="AM11" s="139">
        <f t="shared" si="0"/>
        <v>-42.773673918542613</v>
      </c>
      <c r="AN11" s="143">
        <f t="shared" si="7"/>
        <v>-19.636027191776179</v>
      </c>
      <c r="AO11" s="40"/>
      <c r="AP11" s="125">
        <f t="shared" si="8"/>
        <v>3.7961763944473406</v>
      </c>
      <c r="AQ11" s="125">
        <f t="shared" si="15"/>
        <v>2.7503999999999995</v>
      </c>
      <c r="AR11" s="125">
        <f t="shared" si="9"/>
        <v>155.70856830862769</v>
      </c>
      <c r="AS11" s="125">
        <f t="shared" si="10"/>
        <v>148.51402244234131</v>
      </c>
      <c r="AT11" s="125">
        <f t="shared" si="11"/>
        <v>123.71381008105473</v>
      </c>
    </row>
    <row r="12" spans="1:46" x14ac:dyDescent="0.3">
      <c r="A12" s="40"/>
      <c r="B12" s="54"/>
      <c r="C12" s="40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40" t="s">
        <v>148</v>
      </c>
      <c r="J12" s="141">
        <f t="shared" si="16"/>
        <v>-19.636027191776179</v>
      </c>
      <c r="K12" s="134">
        <v>0.04</v>
      </c>
      <c r="L12" s="138">
        <f t="shared" si="1"/>
        <v>64.534998705604792</v>
      </c>
      <c r="M12" s="138">
        <f t="shared" si="2"/>
        <v>91.869562905486319</v>
      </c>
      <c r="N12" s="138">
        <f>J12*K12</f>
        <v>-0.78544108767104714</v>
      </c>
      <c r="O12" s="138">
        <f t="shared" si="12"/>
        <v>6.5238659191462247</v>
      </c>
      <c r="P12" s="138"/>
      <c r="Q12" s="138"/>
      <c r="R12" s="138"/>
      <c r="S12" s="138"/>
      <c r="T12" s="134"/>
      <c r="U12" s="138">
        <f t="shared" si="3"/>
        <v>162.1429864425663</v>
      </c>
      <c r="V12" s="143">
        <f t="shared" si="17"/>
        <v>41.208976605432774</v>
      </c>
      <c r="W12" s="138">
        <f t="shared" si="18"/>
        <v>6.556362</v>
      </c>
      <c r="X12" s="138"/>
      <c r="Y12" s="138">
        <f>Y11*(1+$B$3)</f>
        <v>4.370908</v>
      </c>
      <c r="Z12" s="138">
        <f>Z11*(1+$B$3)</f>
        <v>14.874414295653391</v>
      </c>
      <c r="AA12" s="138">
        <v>4.08</v>
      </c>
      <c r="AB12" s="138">
        <v>6.3</v>
      </c>
      <c r="AC12" s="138">
        <v>13.6</v>
      </c>
      <c r="AD12" s="138">
        <f t="shared" si="5"/>
        <v>6.3672931370867145</v>
      </c>
      <c r="AE12" s="138">
        <f t="shared" si="5"/>
        <v>4.9581380985511299</v>
      </c>
      <c r="AF12" s="138"/>
      <c r="AG12" s="138">
        <v>12</v>
      </c>
      <c r="AH12" s="138">
        <f t="shared" si="14"/>
        <v>8.0895937397413178</v>
      </c>
      <c r="AI12" s="138"/>
      <c r="AJ12" s="143">
        <f>理財目標費用終值!E10</f>
        <v>32.619329595731109</v>
      </c>
      <c r="AK12" s="145">
        <v>-5</v>
      </c>
      <c r="AL12" s="138">
        <f t="shared" si="6"/>
        <v>150.02501547219643</v>
      </c>
      <c r="AM12" s="139">
        <f t="shared" si="0"/>
        <v>12.117970970369868</v>
      </c>
      <c r="AN12" s="143">
        <f t="shared" si="7"/>
        <v>-7.5180562214063116</v>
      </c>
      <c r="AO12" s="40"/>
      <c r="AP12" s="125">
        <f t="shared" si="8"/>
        <v>3.8720999223362873</v>
      </c>
      <c r="AQ12" s="125">
        <f t="shared" si="15"/>
        <v>2.7503999999999995</v>
      </c>
      <c r="AR12" s="125">
        <f t="shared" si="9"/>
        <v>165.80901096330908</v>
      </c>
      <c r="AS12" s="125">
        <f t="shared" si="10"/>
        <v>157.204983340035</v>
      </c>
      <c r="AT12" s="125">
        <f t="shared" si="11"/>
        <v>134.66236248429692</v>
      </c>
    </row>
    <row r="13" spans="1:46" x14ac:dyDescent="0.3">
      <c r="A13" s="40"/>
      <c r="B13" s="54"/>
      <c r="C13" s="40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40" t="s">
        <v>149</v>
      </c>
      <c r="J13" s="141">
        <f t="shared" si="16"/>
        <v>-7.5180562214063116</v>
      </c>
      <c r="K13" s="134">
        <v>0.04</v>
      </c>
      <c r="L13" s="138">
        <f t="shared" si="1"/>
        <v>65.825698679716893</v>
      </c>
      <c r="M13" s="138">
        <f t="shared" si="2"/>
        <v>92.788258534541185</v>
      </c>
      <c r="N13" s="138">
        <f>J13*K13</f>
        <v>-0.30072224885625248</v>
      </c>
      <c r="O13" s="138">
        <f t="shared" si="12"/>
        <v>6.7195818967206113</v>
      </c>
      <c r="P13" s="138"/>
      <c r="Q13" s="138"/>
      <c r="R13" s="138"/>
      <c r="S13" s="138"/>
      <c r="T13" s="134"/>
      <c r="U13" s="138">
        <f t="shared" si="3"/>
        <v>165.03281686212242</v>
      </c>
      <c r="V13" s="143">
        <f t="shared" si="17"/>
        <v>41.208976605432774</v>
      </c>
      <c r="W13" s="138">
        <f t="shared" si="18"/>
        <v>6.7530528600000004</v>
      </c>
      <c r="X13" s="138"/>
      <c r="Y13" s="138">
        <f>Y12*(1+$B$3)</f>
        <v>4.5020352400000005</v>
      </c>
      <c r="Z13" s="138">
        <f>Z12*(1+$B$3)</f>
        <v>15.320646724522993</v>
      </c>
      <c r="AA13" s="138">
        <v>4.08</v>
      </c>
      <c r="AB13" s="138">
        <v>6.6</v>
      </c>
      <c r="AC13" s="138">
        <v>13.6</v>
      </c>
      <c r="AD13" s="138">
        <f t="shared" si="5"/>
        <v>6.5583119311993165</v>
      </c>
      <c r="AE13" s="138">
        <f t="shared" si="5"/>
        <v>5.1068822415076642</v>
      </c>
      <c r="AF13" s="138"/>
      <c r="AG13" s="138">
        <f>12*2</f>
        <v>24</v>
      </c>
      <c r="AH13" s="138">
        <f t="shared" si="14"/>
        <v>8.3322815519335567</v>
      </c>
      <c r="AI13" s="138"/>
      <c r="AJ13" s="143">
        <f>理財目標費用終值!E11</f>
        <v>33.597909483603047</v>
      </c>
      <c r="AK13" s="145">
        <v>-5</v>
      </c>
      <c r="AL13" s="138">
        <f t="shared" si="6"/>
        <v>164.66009663819932</v>
      </c>
      <c r="AM13" s="139">
        <f t="shared" si="0"/>
        <v>0.37272022392309623</v>
      </c>
      <c r="AN13" s="143">
        <f t="shared" si="7"/>
        <v>-7.1453359974832154</v>
      </c>
      <c r="AO13" s="40"/>
      <c r="AP13" s="125">
        <f t="shared" si="8"/>
        <v>3.9495419207830134</v>
      </c>
      <c r="AQ13" s="125">
        <f t="shared" si="15"/>
        <v>2.7503999999999995</v>
      </c>
      <c r="AR13" s="125">
        <f t="shared" si="9"/>
        <v>176.39091332262447</v>
      </c>
      <c r="AS13" s="125">
        <f t="shared" si="10"/>
        <v>166.24358267363641</v>
      </c>
      <c r="AT13" s="125">
        <f t="shared" si="11"/>
        <v>146.0488569836688</v>
      </c>
    </row>
    <row r="14" spans="1:46" x14ac:dyDescent="0.3">
      <c r="A14" s="40"/>
      <c r="B14" s="54"/>
      <c r="C14" s="40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40"/>
      <c r="J14" s="141">
        <f t="shared" si="16"/>
        <v>-7.1453359974832154</v>
      </c>
      <c r="K14" s="134">
        <v>0.04</v>
      </c>
      <c r="L14" s="138">
        <f t="shared" si="1"/>
        <v>67.142212653311233</v>
      </c>
      <c r="M14" s="138">
        <f t="shared" si="2"/>
        <v>93.716141119886601</v>
      </c>
      <c r="N14" s="138">
        <f>J14*K14</f>
        <v>-0.28581343989932861</v>
      </c>
      <c r="O14" s="138">
        <f t="shared" si="12"/>
        <v>6.9211693536222301</v>
      </c>
      <c r="P14" s="138"/>
      <c r="Q14" s="138"/>
      <c r="R14" s="138"/>
      <c r="S14" s="138"/>
      <c r="T14" s="134"/>
      <c r="U14" s="138">
        <f t="shared" si="3"/>
        <v>167.49370968692074</v>
      </c>
      <c r="V14" s="143">
        <f t="shared" si="17"/>
        <v>41.208976605432774</v>
      </c>
      <c r="W14" s="138">
        <f t="shared" si="18"/>
        <v>6.9556444458000009</v>
      </c>
      <c r="X14" s="138"/>
      <c r="Y14" s="138">
        <f>Y13*(1+$B$3)</f>
        <v>4.6370962972000003</v>
      </c>
      <c r="Z14" s="138">
        <f>Z13*(1+$B$3)</f>
        <v>15.780266126258683</v>
      </c>
      <c r="AA14" s="138">
        <v>4.08</v>
      </c>
      <c r="AB14" s="138">
        <v>7.2</v>
      </c>
      <c r="AC14" s="138">
        <v>7.6</v>
      </c>
      <c r="AD14" s="138">
        <f t="shared" si="5"/>
        <v>6.7550612891352966</v>
      </c>
      <c r="AE14" s="138">
        <f t="shared" si="5"/>
        <v>5.2600887087528942</v>
      </c>
      <c r="AF14" s="138"/>
      <c r="AG14" s="138">
        <f t="shared" ref="AG14:AG23" si="19">12*2</f>
        <v>24</v>
      </c>
      <c r="AH14" s="138">
        <f t="shared" si="14"/>
        <v>8.5822499984915641</v>
      </c>
      <c r="AI14" s="138"/>
      <c r="AJ14" s="143">
        <f>理財目標費用終值!E13*(1+B3)</f>
        <v>96.896370950711187</v>
      </c>
      <c r="AK14" s="145"/>
      <c r="AL14" s="138">
        <f t="shared" si="6"/>
        <v>228.95575442178239</v>
      </c>
      <c r="AM14" s="139">
        <f>U14-AL14</f>
        <v>-61.462044734861649</v>
      </c>
      <c r="AN14" s="143">
        <f>J14+AM14</f>
        <v>-68.607380732344865</v>
      </c>
      <c r="AO14" s="40"/>
      <c r="AP14" s="125">
        <f t="shared" si="8"/>
        <v>4.0285327591986739</v>
      </c>
      <c r="AQ14" s="125">
        <f t="shared" si="15"/>
        <v>2.7503999999999995</v>
      </c>
      <c r="AR14" s="125">
        <f t="shared" si="9"/>
        <v>187.47508261472814</v>
      </c>
      <c r="AS14" s="125">
        <f t="shared" si="10"/>
        <v>175.64372598058188</v>
      </c>
      <c r="AT14" s="125">
        <f t="shared" ref="AT14:AT27" si="20">AT13*(1+$B$7)</f>
        <v>151.89081126301556</v>
      </c>
    </row>
    <row r="15" spans="1:46" x14ac:dyDescent="0.3">
      <c r="A15" s="40"/>
      <c r="B15" s="55"/>
      <c r="C15" s="40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40"/>
      <c r="J15" s="141">
        <f t="shared" si="16"/>
        <v>-68.607380732344865</v>
      </c>
      <c r="K15" s="134">
        <v>0.04</v>
      </c>
      <c r="L15" s="138">
        <f t="shared" si="1"/>
        <v>68.485056906377466</v>
      </c>
      <c r="M15" s="138">
        <f t="shared" si="2"/>
        <v>94.653302531085473</v>
      </c>
      <c r="N15" s="138">
        <v>4</v>
      </c>
      <c r="O15" s="138">
        <f t="shared" si="12"/>
        <v>7.1288044342308972</v>
      </c>
      <c r="P15" s="138"/>
      <c r="Q15" s="138"/>
      <c r="R15" s="138"/>
      <c r="S15" s="138"/>
      <c r="T15" s="134"/>
      <c r="U15" s="138">
        <f t="shared" si="3"/>
        <v>174.26716387169384</v>
      </c>
      <c r="V15" s="143">
        <f t="shared" si="17"/>
        <v>41.208976605432774</v>
      </c>
      <c r="W15" s="138">
        <v>7</v>
      </c>
      <c r="X15" s="138"/>
      <c r="Y15" s="138">
        <v>5</v>
      </c>
      <c r="Z15" s="138">
        <f t="shared" ref="Z15:Z27" si="21">Z14*(1+$B$3)</f>
        <v>16.253674110046443</v>
      </c>
      <c r="AA15" s="138">
        <v>4.08</v>
      </c>
      <c r="AB15" s="138">
        <v>7.5</v>
      </c>
      <c r="AC15" s="138">
        <v>7.6</v>
      </c>
      <c r="AD15" s="138">
        <f t="shared" si="5"/>
        <v>6.957713127809356</v>
      </c>
      <c r="AE15" s="138">
        <f t="shared" si="5"/>
        <v>5.4178913700154814</v>
      </c>
      <c r="AF15" s="138"/>
      <c r="AG15" s="138">
        <f t="shared" si="19"/>
        <v>24</v>
      </c>
      <c r="AH15" s="138">
        <f t="shared" si="14"/>
        <v>8.839717498446312</v>
      </c>
      <c r="AI15" s="138"/>
      <c r="AJ15" s="140"/>
      <c r="AK15" s="138"/>
      <c r="AL15" s="138">
        <f t="shared" si="6"/>
        <v>133.85797271175036</v>
      </c>
      <c r="AM15" s="139">
        <f t="shared" si="0"/>
        <v>40.409191159943475</v>
      </c>
      <c r="AN15" s="143">
        <f t="shared" si="7"/>
        <v>-28.19818957240139</v>
      </c>
      <c r="AO15" s="40"/>
      <c r="AP15" s="125">
        <f t="shared" si="8"/>
        <v>4.1091034143826475</v>
      </c>
      <c r="AQ15" s="125">
        <f t="shared" si="15"/>
        <v>2.7503999999999995</v>
      </c>
      <c r="AR15" s="125">
        <f t="shared" si="9"/>
        <v>199.08318933369992</v>
      </c>
      <c r="AS15" s="125">
        <f t="shared" si="10"/>
        <v>185.41987501980518</v>
      </c>
      <c r="AT15" s="125">
        <f t="shared" si="20"/>
        <v>157.96644371353619</v>
      </c>
    </row>
    <row r="16" spans="1:46" x14ac:dyDescent="0.3">
      <c r="A16" s="40"/>
      <c r="B16" s="40"/>
      <c r="C16" s="40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40"/>
      <c r="J16" s="141">
        <f t="shared" si="16"/>
        <v>-28.19818957240139</v>
      </c>
      <c r="K16" s="134">
        <v>0.04</v>
      </c>
      <c r="L16" s="138">
        <f t="shared" si="1"/>
        <v>69.854758044505019</v>
      </c>
      <c r="M16" s="138">
        <f t="shared" si="2"/>
        <v>95.599835556396329</v>
      </c>
      <c r="N16" s="138">
        <f t="shared" ref="N16:N53" si="22">J16*K16</f>
        <v>-1.1279275828960555</v>
      </c>
      <c r="O16" s="138">
        <f t="shared" si="12"/>
        <v>7.3426685672578245</v>
      </c>
      <c r="P16" s="138"/>
      <c r="Q16" s="138"/>
      <c r="R16" s="138"/>
      <c r="S16" s="138"/>
      <c r="T16" s="134"/>
      <c r="U16" s="138">
        <f t="shared" si="3"/>
        <v>171.6693345852631</v>
      </c>
      <c r="V16" s="143">
        <f t="shared" si="17"/>
        <v>41.208976605432774</v>
      </c>
      <c r="W16" s="138">
        <f>W15*(1+$B$3)</f>
        <v>7.21</v>
      </c>
      <c r="X16" s="138"/>
      <c r="Y16" s="138">
        <f>Y15*(1+$B$3)</f>
        <v>5.15</v>
      </c>
      <c r="Z16" s="138">
        <f t="shared" si="21"/>
        <v>16.741284333347838</v>
      </c>
      <c r="AA16" s="138">
        <v>4.08</v>
      </c>
      <c r="AB16" s="138">
        <v>7.8</v>
      </c>
      <c r="AC16" s="138">
        <v>7.6</v>
      </c>
      <c r="AD16" s="138">
        <f t="shared" si="5"/>
        <v>7.166444521643637</v>
      </c>
      <c r="AE16" s="138">
        <f t="shared" si="5"/>
        <v>5.5804281111159462</v>
      </c>
      <c r="AF16" s="138"/>
      <c r="AG16" s="138">
        <f t="shared" si="19"/>
        <v>24</v>
      </c>
      <c r="AH16" s="138">
        <f t="shared" si="14"/>
        <v>9.104909023399701</v>
      </c>
      <c r="AI16" s="138"/>
      <c r="AJ16" s="140"/>
      <c r="AK16" s="138"/>
      <c r="AL16" s="138">
        <f t="shared" si="6"/>
        <v>135.64204259493991</v>
      </c>
      <c r="AM16" s="139">
        <f t="shared" si="0"/>
        <v>36.027291990323192</v>
      </c>
      <c r="AN16" s="139">
        <f t="shared" si="7"/>
        <v>7.8291024179218027</v>
      </c>
      <c r="AO16" s="40"/>
      <c r="AP16" s="125">
        <f t="shared" si="8"/>
        <v>4.1912854826703008</v>
      </c>
      <c r="AQ16" s="125">
        <f t="shared" si="15"/>
        <v>2.7503999999999995</v>
      </c>
      <c r="AR16" s="125">
        <f t="shared" si="9"/>
        <v>211.23780238971824</v>
      </c>
      <c r="AS16" s="125">
        <f t="shared" si="10"/>
        <v>195.58707002059739</v>
      </c>
      <c r="AT16" s="125">
        <f t="shared" si="20"/>
        <v>164.28510146207765</v>
      </c>
    </row>
    <row r="17" spans="1:46" x14ac:dyDescent="0.3">
      <c r="A17" s="40"/>
      <c r="B17" s="55"/>
      <c r="C17" s="40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40"/>
      <c r="J17" s="141">
        <f t="shared" si="16"/>
        <v>7.8291024179218027</v>
      </c>
      <c r="K17" s="134">
        <v>0.04</v>
      </c>
      <c r="L17" s="138">
        <f t="shared" si="1"/>
        <v>71.251853205395122</v>
      </c>
      <c r="M17" s="138">
        <f t="shared" si="2"/>
        <v>96.555833911960292</v>
      </c>
      <c r="N17" s="138">
        <f t="shared" si="22"/>
        <v>0.31316409671687212</v>
      </c>
      <c r="O17" s="138">
        <f t="shared" si="12"/>
        <v>7.5629486242755597</v>
      </c>
      <c r="P17" s="138"/>
      <c r="Q17" s="138"/>
      <c r="R17" s="138"/>
      <c r="S17" s="138"/>
      <c r="T17" s="134"/>
      <c r="U17" s="138">
        <f t="shared" si="3"/>
        <v>175.68379983834782</v>
      </c>
      <c r="V17" s="143">
        <f t="shared" si="17"/>
        <v>41.208976605432774</v>
      </c>
      <c r="W17" s="138">
        <f t="shared" si="18"/>
        <v>7.4263000000000003</v>
      </c>
      <c r="X17" s="138"/>
      <c r="Y17" s="138">
        <f>Y16*(1+$B$3)</f>
        <v>5.3045000000000009</v>
      </c>
      <c r="Z17" s="138">
        <f t="shared" si="21"/>
        <v>17.243522863348275</v>
      </c>
      <c r="AA17" s="138">
        <v>4.08</v>
      </c>
      <c r="AB17" s="138">
        <v>8</v>
      </c>
      <c r="AC17" s="138">
        <v>7.6</v>
      </c>
      <c r="AD17" s="138">
        <f t="shared" si="5"/>
        <v>7.381437857292946</v>
      </c>
      <c r="AE17" s="138">
        <f t="shared" si="5"/>
        <v>5.7478409544494244</v>
      </c>
      <c r="AF17" s="138"/>
      <c r="AG17" s="138">
        <f t="shared" si="19"/>
        <v>24</v>
      </c>
      <c r="AH17" s="138">
        <f t="shared" si="14"/>
        <v>9.3780562941016914</v>
      </c>
      <c r="AI17" s="138"/>
      <c r="AJ17" s="140"/>
      <c r="AK17" s="138"/>
      <c r="AL17" s="138">
        <f t="shared" si="6"/>
        <v>137.37063457462511</v>
      </c>
      <c r="AM17" s="139">
        <f t="shared" si="0"/>
        <v>38.313165263722709</v>
      </c>
      <c r="AN17" s="139">
        <f t="shared" si="7"/>
        <v>46.142267681644512</v>
      </c>
      <c r="AO17" s="40"/>
      <c r="AP17" s="125">
        <f t="shared" si="8"/>
        <v>4.2751111923237071</v>
      </c>
      <c r="AQ17" s="125">
        <f t="shared" si="15"/>
        <v>2.7503999999999995</v>
      </c>
      <c r="AR17" s="125">
        <f t="shared" si="9"/>
        <v>223.9624256776307</v>
      </c>
      <c r="AS17" s="125">
        <f t="shared" si="10"/>
        <v>206.16095282142132</v>
      </c>
      <c r="AT17" s="125">
        <f t="shared" si="20"/>
        <v>170.85650552056077</v>
      </c>
    </row>
    <row r="18" spans="1:46" x14ac:dyDescent="0.3">
      <c r="A18" s="40"/>
      <c r="B18" s="55"/>
      <c r="C18" s="40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40"/>
      <c r="J18" s="141">
        <f t="shared" si="16"/>
        <v>46.142267681644512</v>
      </c>
      <c r="K18" s="134">
        <v>0.04</v>
      </c>
      <c r="L18" s="138">
        <f t="shared" si="1"/>
        <v>72.676890269503019</v>
      </c>
      <c r="M18" s="138">
        <f t="shared" si="2"/>
        <v>97.521392251079902</v>
      </c>
      <c r="N18" s="138">
        <f t="shared" si="22"/>
        <v>1.8456907072657804</v>
      </c>
      <c r="O18" s="138">
        <f t="shared" si="12"/>
        <v>7.7898370830038264</v>
      </c>
      <c r="P18" s="138"/>
      <c r="Q18" s="138"/>
      <c r="R18" s="138"/>
      <c r="S18" s="138"/>
      <c r="T18" s="134"/>
      <c r="U18" s="138">
        <f t="shared" si="3"/>
        <v>179.83381031085253</v>
      </c>
      <c r="V18" s="143">
        <f t="shared" si="17"/>
        <v>41.208976605432774</v>
      </c>
      <c r="W18" s="138">
        <f t="shared" si="18"/>
        <v>7.6490890000000009</v>
      </c>
      <c r="X18" s="138"/>
      <c r="Y18" s="138">
        <f>Y17*(1+$B$3)</f>
        <v>5.4636350000000009</v>
      </c>
      <c r="Z18" s="138">
        <f t="shared" si="21"/>
        <v>17.760828549248725</v>
      </c>
      <c r="AA18" s="138">
        <v>4.08</v>
      </c>
      <c r="AB18" s="138">
        <v>8.3000000000000007</v>
      </c>
      <c r="AC18" s="138">
        <v>7.6</v>
      </c>
      <c r="AD18" s="138">
        <f t="shared" si="5"/>
        <v>7.6028809930117349</v>
      </c>
      <c r="AE18" s="138">
        <f t="shared" si="5"/>
        <v>5.9202761830829074</v>
      </c>
      <c r="AF18" s="138"/>
      <c r="AG18" s="138">
        <f t="shared" si="19"/>
        <v>24</v>
      </c>
      <c r="AH18" s="138">
        <f t="shared" si="14"/>
        <v>9.6593979829247427</v>
      </c>
      <c r="AI18" s="138"/>
      <c r="AJ18" s="138"/>
      <c r="AK18" s="138"/>
      <c r="AL18" s="138">
        <f t="shared" si="6"/>
        <v>139.24508431370086</v>
      </c>
      <c r="AM18" s="139">
        <f t="shared" si="0"/>
        <v>40.58872599715167</v>
      </c>
      <c r="AN18" s="139">
        <f t="shared" si="7"/>
        <v>86.730993678796182</v>
      </c>
      <c r="AO18" s="40"/>
      <c r="AP18" s="125">
        <f t="shared" si="8"/>
        <v>4.3606134161701808</v>
      </c>
      <c r="AQ18" s="125">
        <f t="shared" si="15"/>
        <v>2.7503999999999995</v>
      </c>
      <c r="AR18" s="125">
        <f t="shared" si="9"/>
        <v>237.28153612090611</v>
      </c>
      <c r="AS18" s="125">
        <f t="shared" si="10"/>
        <v>217.15779093427818</v>
      </c>
      <c r="AT18" s="125">
        <f t="shared" si="20"/>
        <v>177.69076574138322</v>
      </c>
    </row>
    <row r="19" spans="1:46" x14ac:dyDescent="0.3">
      <c r="A19" s="40"/>
      <c r="B19" s="55"/>
      <c r="C19" s="40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40"/>
      <c r="J19" s="141">
        <f t="shared" si="16"/>
        <v>86.730993678796182</v>
      </c>
      <c r="K19" s="134">
        <v>0.04</v>
      </c>
      <c r="L19" s="138">
        <f t="shared" si="1"/>
        <v>74.130428074893075</v>
      </c>
      <c r="M19" s="138">
        <f t="shared" si="2"/>
        <v>98.496606173590706</v>
      </c>
      <c r="N19" s="138">
        <f t="shared" si="22"/>
        <v>3.4692397471518475</v>
      </c>
      <c r="O19" s="138">
        <f t="shared" si="12"/>
        <v>8.0235321954939423</v>
      </c>
      <c r="P19" s="138"/>
      <c r="Q19" s="138"/>
      <c r="R19" s="138"/>
      <c r="S19" s="138"/>
      <c r="T19" s="134"/>
      <c r="U19" s="138">
        <f t="shared" si="3"/>
        <v>184.11980619112956</v>
      </c>
      <c r="V19" s="138"/>
      <c r="W19" s="138">
        <f t="shared" si="18"/>
        <v>7.8785616700000007</v>
      </c>
      <c r="X19" s="138"/>
      <c r="Y19" s="138">
        <f>Y18*(1+$B$3)</f>
        <v>5.6275440500000009</v>
      </c>
      <c r="Z19" s="138">
        <f t="shared" si="21"/>
        <v>18.293653405726186</v>
      </c>
      <c r="AA19" s="138">
        <v>4.08</v>
      </c>
      <c r="AB19" s="138">
        <v>8.5</v>
      </c>
      <c r="AC19" s="138">
        <v>7.6</v>
      </c>
      <c r="AD19" s="138">
        <f t="shared" si="5"/>
        <v>7.8309674228020869</v>
      </c>
      <c r="AE19" s="138">
        <f t="shared" si="5"/>
        <v>6.097884468575395</v>
      </c>
      <c r="AF19" s="138"/>
      <c r="AG19" s="138">
        <f t="shared" si="19"/>
        <v>24</v>
      </c>
      <c r="AH19" s="138">
        <f t="shared" si="14"/>
        <v>9.9491799224124851</v>
      </c>
      <c r="AI19" s="138"/>
      <c r="AJ19" s="138"/>
      <c r="AK19" s="138"/>
      <c r="AL19" s="138">
        <f t="shared" si="6"/>
        <v>99.857790939516164</v>
      </c>
      <c r="AM19" s="139">
        <f t="shared" si="0"/>
        <v>84.262015251613391</v>
      </c>
      <c r="AN19" s="139">
        <f t="shared" si="7"/>
        <v>170.99300893040959</v>
      </c>
      <c r="AO19" s="40"/>
      <c r="AP19" s="125">
        <f t="shared" si="8"/>
        <v>4.4478256844935844</v>
      </c>
      <c r="AQ19" s="125">
        <f t="shared" si="15"/>
        <v>2.7503999999999995</v>
      </c>
      <c r="AR19" s="125">
        <f t="shared" si="9"/>
        <v>251.22062325023595</v>
      </c>
      <c r="AS19" s="125">
        <f t="shared" si="10"/>
        <v>228.59450257164934</v>
      </c>
      <c r="AT19" s="125">
        <f t="shared" si="20"/>
        <v>184.79839637103856</v>
      </c>
    </row>
    <row r="20" spans="1:46" x14ac:dyDescent="0.3">
      <c r="A20" s="40"/>
      <c r="B20" s="55"/>
      <c r="C20" s="40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40"/>
      <c r="J20" s="141">
        <f t="shared" si="16"/>
        <v>170.99300893040959</v>
      </c>
      <c r="K20" s="134">
        <v>0.04</v>
      </c>
      <c r="L20" s="138">
        <f t="shared" si="1"/>
        <v>75.613036636390945</v>
      </c>
      <c r="M20" s="138">
        <f t="shared" si="2"/>
        <v>99.48157223532661</v>
      </c>
      <c r="N20" s="138">
        <f t="shared" si="22"/>
        <v>6.8397203572163834</v>
      </c>
      <c r="O20" s="138">
        <f t="shared" si="12"/>
        <v>8.2642381613587599</v>
      </c>
      <c r="P20" s="138"/>
      <c r="Q20" s="138"/>
      <c r="R20" s="138"/>
      <c r="S20" s="138"/>
      <c r="T20" s="134"/>
      <c r="U20" s="138">
        <f t="shared" si="3"/>
        <v>190.19856739029268</v>
      </c>
      <c r="V20" s="138"/>
      <c r="W20" s="138">
        <f t="shared" si="18"/>
        <v>8.1149185201000016</v>
      </c>
      <c r="X20" s="138"/>
      <c r="Y20" s="138">
        <f>Y19*(1+$B$3)</f>
        <v>5.796370371500001</v>
      </c>
      <c r="Z20" s="138">
        <f t="shared" si="21"/>
        <v>18.842463007897972</v>
      </c>
      <c r="AA20" s="138">
        <v>4.08</v>
      </c>
      <c r="AB20" s="138">
        <v>8.8000000000000007</v>
      </c>
      <c r="AC20" s="138">
        <v>7.6</v>
      </c>
      <c r="AD20" s="138">
        <f t="shared" ref="AD20:AE27" si="23">AD19*(1+$B$3)</f>
        <v>8.0658964454861497</v>
      </c>
      <c r="AE20" s="138">
        <f t="shared" si="23"/>
        <v>6.2808210026326572</v>
      </c>
      <c r="AF20" s="138"/>
      <c r="AG20" s="138">
        <f t="shared" si="19"/>
        <v>24</v>
      </c>
      <c r="AH20" s="138">
        <f t="shared" si="14"/>
        <v>10.24765532008486</v>
      </c>
      <c r="AI20" s="138"/>
      <c r="AJ20" s="138"/>
      <c r="AK20" s="138"/>
      <c r="AL20" s="138">
        <f t="shared" si="6"/>
        <v>101.82812466770164</v>
      </c>
      <c r="AM20" s="139">
        <f t="shared" si="0"/>
        <v>88.370442722591036</v>
      </c>
      <c r="AN20" s="139">
        <f t="shared" si="7"/>
        <v>259.36345165300065</v>
      </c>
      <c r="AO20" s="40"/>
      <c r="AP20" s="125">
        <f t="shared" si="8"/>
        <v>4.5367821981834568</v>
      </c>
      <c r="AQ20" s="125">
        <f t="shared" si="15"/>
        <v>2.7503999999999995</v>
      </c>
      <c r="AR20" s="125">
        <f t="shared" si="9"/>
        <v>265.80623037842884</v>
      </c>
      <c r="AS20" s="125">
        <f t="shared" si="10"/>
        <v>240.48868267451533</v>
      </c>
      <c r="AT20" s="125">
        <f t="shared" si="20"/>
        <v>192.19033222588013</v>
      </c>
    </row>
    <row r="21" spans="1:46" x14ac:dyDescent="0.3">
      <c r="A21" s="40"/>
      <c r="B21" s="55"/>
      <c r="C21" s="40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40"/>
      <c r="J21" s="141">
        <f t="shared" si="16"/>
        <v>259.36345165300065</v>
      </c>
      <c r="K21" s="134">
        <v>0.04</v>
      </c>
      <c r="L21" s="138">
        <f t="shared" si="1"/>
        <v>77.125297369118769</v>
      </c>
      <c r="M21" s="138">
        <f t="shared" si="2"/>
        <v>100.47638795767988</v>
      </c>
      <c r="N21" s="138">
        <f t="shared" si="22"/>
        <v>10.374538066120026</v>
      </c>
      <c r="O21" s="138">
        <f t="shared" ref="O21:Q36" si="24">O20*(1+$B$3)</f>
        <v>8.5121653061995222</v>
      </c>
      <c r="P21" s="138"/>
      <c r="Q21" s="138"/>
      <c r="R21" s="138"/>
      <c r="S21" s="138"/>
      <c r="T21" s="134"/>
      <c r="U21" s="138">
        <f t="shared" si="3"/>
        <v>196.48838869911822</v>
      </c>
      <c r="V21" s="138"/>
      <c r="W21" s="138">
        <v>8</v>
      </c>
      <c r="X21" s="138"/>
      <c r="Y21" s="138">
        <v>6</v>
      </c>
      <c r="Z21" s="138">
        <f t="shared" si="21"/>
        <v>19.407736898134914</v>
      </c>
      <c r="AA21" s="138">
        <v>4.08</v>
      </c>
      <c r="AB21" s="138">
        <v>9.1</v>
      </c>
      <c r="AC21" s="138">
        <v>7.6</v>
      </c>
      <c r="AD21" s="138">
        <f t="shared" si="23"/>
        <v>8.3078733388507349</v>
      </c>
      <c r="AE21" s="138">
        <f t="shared" si="23"/>
        <v>6.4692456327116368</v>
      </c>
      <c r="AF21" s="138"/>
      <c r="AG21" s="138">
        <f t="shared" si="19"/>
        <v>24</v>
      </c>
      <c r="AH21" s="138">
        <f t="shared" si="14"/>
        <v>10.555084979687406</v>
      </c>
      <c r="AI21" s="138"/>
      <c r="AJ21" s="138"/>
      <c r="AK21" s="138"/>
      <c r="AL21" s="138">
        <f t="shared" si="6"/>
        <v>103.5199408493847</v>
      </c>
      <c r="AM21" s="139">
        <f t="shared" si="0"/>
        <v>92.968447849733522</v>
      </c>
      <c r="AN21" s="139">
        <f t="shared" si="7"/>
        <v>352.33189950273419</v>
      </c>
      <c r="AO21" s="40"/>
      <c r="AP21" s="125">
        <f t="shared" si="8"/>
        <v>4.6275178421471264</v>
      </c>
      <c r="AQ21" s="125">
        <f t="shared" si="15"/>
        <v>2.7503999999999995</v>
      </c>
      <c r="AR21" s="125">
        <f t="shared" si="9"/>
        <v>281.06599743571314</v>
      </c>
      <c r="AS21" s="125">
        <f t="shared" si="10"/>
        <v>252.85862998149597</v>
      </c>
      <c r="AT21" s="125">
        <f t="shared" si="20"/>
        <v>199.87794551491533</v>
      </c>
    </row>
    <row r="22" spans="1:46" x14ac:dyDescent="0.3">
      <c r="A22" s="40"/>
      <c r="B22" s="55"/>
      <c r="C22" s="40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J22" s="141">
        <f t="shared" si="16"/>
        <v>352.33189950273419</v>
      </c>
      <c r="K22" s="134">
        <v>0.04</v>
      </c>
      <c r="L22" s="138">
        <f t="shared" si="1"/>
        <v>78.66780331650115</v>
      </c>
      <c r="M22" s="138">
        <f t="shared" si="2"/>
        <v>101.48115183725668</v>
      </c>
      <c r="N22" s="138">
        <f t="shared" si="22"/>
        <v>14.093275980109368</v>
      </c>
      <c r="O22" s="138">
        <f t="shared" si="24"/>
        <v>8.7675302653855081</v>
      </c>
      <c r="P22" s="138"/>
      <c r="Q22" s="138"/>
      <c r="R22" s="138"/>
      <c r="S22" s="138"/>
      <c r="T22" s="134"/>
      <c r="U22" s="138">
        <f t="shared" si="3"/>
        <v>203.00976139925268</v>
      </c>
      <c r="V22" s="138"/>
      <c r="W22" s="138">
        <f>W21*(1+$B$3)</f>
        <v>8.24</v>
      </c>
      <c r="X22" s="138"/>
      <c r="Y22" s="138">
        <f>Y21*(1+$B$3)</f>
        <v>6.18</v>
      </c>
      <c r="Z22" s="138">
        <f t="shared" si="21"/>
        <v>19.989969005078962</v>
      </c>
      <c r="AA22" s="138">
        <v>4.08</v>
      </c>
      <c r="AB22" s="138">
        <v>9.4</v>
      </c>
      <c r="AC22" s="138">
        <v>7.6</v>
      </c>
      <c r="AD22" s="138">
        <f t="shared" si="23"/>
        <v>8.5571095390162579</v>
      </c>
      <c r="AE22" s="138">
        <f t="shared" si="23"/>
        <v>6.6633230016929863</v>
      </c>
      <c r="AF22" s="138"/>
      <c r="AG22" s="138">
        <f t="shared" si="19"/>
        <v>24</v>
      </c>
      <c r="AH22" s="138">
        <f t="shared" si="14"/>
        <v>10.871737529078029</v>
      </c>
      <c r="AI22" s="138"/>
      <c r="AJ22" s="138"/>
      <c r="AK22" s="138"/>
      <c r="AL22" s="138">
        <f t="shared" si="6"/>
        <v>105.58213907486623</v>
      </c>
      <c r="AM22" s="139">
        <f t="shared" si="0"/>
        <v>97.427622324386448</v>
      </c>
      <c r="AN22" s="139">
        <f t="shared" si="7"/>
        <v>449.75952182712064</v>
      </c>
      <c r="AO22" s="40"/>
      <c r="AP22" s="125">
        <f t="shared" si="8"/>
        <v>4.7200681989900692</v>
      </c>
      <c r="AQ22" s="125">
        <f t="shared" si="15"/>
        <v>2.7503999999999995</v>
      </c>
      <c r="AR22" s="125">
        <f t="shared" si="9"/>
        <v>297.02870553213177</v>
      </c>
      <c r="AS22" s="125">
        <f t="shared" si="10"/>
        <v>265.72337518075585</v>
      </c>
      <c r="AT22" s="125">
        <f t="shared" si="20"/>
        <v>207.87306333551194</v>
      </c>
    </row>
    <row r="23" spans="1:46" x14ac:dyDescent="0.3">
      <c r="A23" s="40"/>
      <c r="B23" s="55"/>
      <c r="C23" s="40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40" t="s">
        <v>137</v>
      </c>
      <c r="J23" s="141">
        <f t="shared" si="16"/>
        <v>449.75952182712064</v>
      </c>
      <c r="K23" s="134">
        <v>0.04</v>
      </c>
      <c r="L23" s="138">
        <f t="shared" si="1"/>
        <v>80.241159382831171</v>
      </c>
      <c r="M23" s="138">
        <f t="shared" si="2"/>
        <v>102.49596335562924</v>
      </c>
      <c r="N23" s="138">
        <f t="shared" si="22"/>
        <v>17.990380873084828</v>
      </c>
      <c r="O23" s="138">
        <f t="shared" si="24"/>
        <v>9.0305561733470743</v>
      </c>
      <c r="P23" s="138"/>
      <c r="Q23" s="138"/>
      <c r="R23" s="138"/>
      <c r="S23" s="138"/>
      <c r="T23" s="134"/>
      <c r="U23" s="138">
        <f t="shared" si="3"/>
        <v>209.75805978489231</v>
      </c>
      <c r="V23" s="138"/>
      <c r="W23" s="138">
        <f t="shared" si="18"/>
        <v>8.4871999999999996</v>
      </c>
      <c r="X23" s="138"/>
      <c r="Y23" s="138">
        <f>Y22*(1+$B$3)</f>
        <v>6.3654000000000002</v>
      </c>
      <c r="Z23" s="138">
        <f t="shared" si="21"/>
        <v>20.58966807523133</v>
      </c>
      <c r="AA23" s="138">
        <v>4.08</v>
      </c>
      <c r="AB23" s="138">
        <v>9.6999999999999993</v>
      </c>
      <c r="AC23" s="138">
        <v>7.6</v>
      </c>
      <c r="AD23" s="138">
        <f t="shared" si="23"/>
        <v>8.8138228251867456</v>
      </c>
      <c r="AE23" s="138">
        <f t="shared" si="23"/>
        <v>6.8632226917437764</v>
      </c>
      <c r="AF23" s="138"/>
      <c r="AG23" s="138">
        <f t="shared" si="19"/>
        <v>24</v>
      </c>
      <c r="AH23" s="138">
        <f t="shared" si="14"/>
        <v>11.197889654950369</v>
      </c>
      <c r="AI23" s="138"/>
      <c r="AJ23" s="138">
        <f>理財目標費用終值!D14</f>
        <v>104.0163177184848</v>
      </c>
      <c r="AK23" s="138"/>
      <c r="AL23" s="138">
        <f t="shared" si="6"/>
        <v>211.71352096559701</v>
      </c>
      <c r="AM23" s="139">
        <f t="shared" si="0"/>
        <v>-1.9554611807047024</v>
      </c>
      <c r="AN23" s="139">
        <f t="shared" si="7"/>
        <v>447.80406064641591</v>
      </c>
      <c r="AO23" s="40"/>
      <c r="AP23" s="125">
        <f t="shared" si="8"/>
        <v>4.8144695629698697</v>
      </c>
      <c r="AQ23" s="125">
        <f t="shared" si="15"/>
        <v>2.7503999999999995</v>
      </c>
      <c r="AR23" s="125">
        <f t="shared" si="9"/>
        <v>313.72432331638691</v>
      </c>
      <c r="AS23" s="125">
        <f t="shared" si="10"/>
        <v>279.10271018798613</v>
      </c>
      <c r="AT23" s="125">
        <f t="shared" si="20"/>
        <v>216.18798586893243</v>
      </c>
    </row>
    <row r="24" spans="1:46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J24" s="141">
        <f t="shared" si="16"/>
        <v>447.80406064641591</v>
      </c>
      <c r="K24" s="134">
        <v>0.04</v>
      </c>
      <c r="L24" s="138">
        <f t="shared" si="1"/>
        <v>81.845982570487791</v>
      </c>
      <c r="M24" s="138">
        <f t="shared" si="2"/>
        <v>103.52092298918554</v>
      </c>
      <c r="N24" s="138">
        <f t="shared" si="22"/>
        <v>17.912162425856636</v>
      </c>
      <c r="O24" s="138">
        <f t="shared" si="24"/>
        <v>9.301472858547486</v>
      </c>
      <c r="P24" s="138"/>
      <c r="Q24" s="138"/>
      <c r="R24" s="138"/>
      <c r="S24" s="140"/>
      <c r="T24" s="135"/>
      <c r="U24" s="138">
        <f t="shared" si="3"/>
        <v>212.58054084407749</v>
      </c>
      <c r="V24" s="140"/>
      <c r="W24" s="138">
        <f t="shared" si="18"/>
        <v>8.741816</v>
      </c>
      <c r="X24" s="140"/>
      <c r="Y24" s="138">
        <f>Y23*(1+$B$3)</f>
        <v>6.556362</v>
      </c>
      <c r="Z24" s="138">
        <f t="shared" si="21"/>
        <v>21.207358117488269</v>
      </c>
      <c r="AA24" s="138">
        <v>4.08</v>
      </c>
      <c r="AB24" s="138">
        <v>10</v>
      </c>
      <c r="AC24" s="138">
        <v>6.4</v>
      </c>
      <c r="AD24" s="138">
        <f t="shared" si="23"/>
        <v>9.0782375099423476</v>
      </c>
      <c r="AE24" s="138">
        <f t="shared" si="23"/>
        <v>7.0691193724960897</v>
      </c>
      <c r="AF24" s="140"/>
      <c r="AG24" s="138"/>
      <c r="AH24" s="140"/>
      <c r="AI24" s="140"/>
      <c r="AJ24" s="140"/>
      <c r="AK24" s="140"/>
      <c r="AL24" s="138">
        <f t="shared" si="6"/>
        <v>73.132892999926696</v>
      </c>
      <c r="AM24" s="139">
        <f t="shared" si="0"/>
        <v>139.44764784415079</v>
      </c>
      <c r="AN24" s="139">
        <f t="shared" si="7"/>
        <v>587.25170849056667</v>
      </c>
      <c r="AP24" s="125">
        <f t="shared" si="8"/>
        <v>4.9107589542292676</v>
      </c>
      <c r="AQ24" s="125">
        <f t="shared" si="15"/>
        <v>2.7503999999999995</v>
      </c>
      <c r="AR24" s="125">
        <f t="shared" si="9"/>
        <v>331.18405520327167</v>
      </c>
      <c r="AS24" s="125">
        <f t="shared" si="10"/>
        <v>293.0172185955056</v>
      </c>
      <c r="AT24" s="125">
        <f t="shared" si="20"/>
        <v>224.83550530368973</v>
      </c>
    </row>
    <row r="25" spans="1:46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J25" s="141">
        <f t="shared" si="16"/>
        <v>587.25170849056667</v>
      </c>
      <c r="K25" s="134">
        <v>0.04</v>
      </c>
      <c r="L25" s="138">
        <f t="shared" si="1"/>
        <v>83.482902221897547</v>
      </c>
      <c r="M25" s="138">
        <f t="shared" si="2"/>
        <v>104.5561322190774</v>
      </c>
      <c r="N25" s="138">
        <f t="shared" si="22"/>
        <v>23.490068339622667</v>
      </c>
      <c r="O25" s="138">
        <f t="shared" si="24"/>
        <v>9.5805170443039103</v>
      </c>
      <c r="P25" s="138"/>
      <c r="Q25" s="138"/>
      <c r="R25" s="138"/>
      <c r="S25" s="140"/>
      <c r="T25" s="135"/>
      <c r="U25" s="138">
        <f t="shared" si="3"/>
        <v>221.10961982490153</v>
      </c>
      <c r="V25" s="140"/>
      <c r="W25" s="138">
        <f t="shared" si="18"/>
        <v>9.0040704800000011</v>
      </c>
      <c r="X25" s="140"/>
      <c r="Y25" s="138">
        <f>Y24*(1+$B$3)</f>
        <v>6.7530528600000004</v>
      </c>
      <c r="Z25" s="138">
        <f t="shared" si="21"/>
        <v>21.843578861012919</v>
      </c>
      <c r="AA25" s="138">
        <v>4.08</v>
      </c>
      <c r="AB25" s="138">
        <v>10.3</v>
      </c>
      <c r="AC25" s="138">
        <v>6.4</v>
      </c>
      <c r="AD25" s="138">
        <f t="shared" si="23"/>
        <v>9.3505846352406188</v>
      </c>
      <c r="AE25" s="138">
        <f t="shared" si="23"/>
        <v>7.2811929536709723</v>
      </c>
      <c r="AF25" s="140"/>
      <c r="AG25" s="140"/>
      <c r="AH25" s="140"/>
      <c r="AI25" s="140"/>
      <c r="AJ25" s="140"/>
      <c r="AK25" s="140"/>
      <c r="AL25" s="138">
        <f t="shared" si="6"/>
        <v>75.012479789924498</v>
      </c>
      <c r="AM25" s="139">
        <f t="shared" si="0"/>
        <v>146.09714003497703</v>
      </c>
      <c r="AN25" s="139">
        <f t="shared" si="7"/>
        <v>733.34884852554364</v>
      </c>
      <c r="AP25" s="125">
        <f t="shared" si="8"/>
        <v>5.0089741333138527</v>
      </c>
      <c r="AQ25" s="125">
        <f t="shared" si="15"/>
        <v>2.7503999999999995</v>
      </c>
      <c r="AR25" s="125">
        <f t="shared" si="9"/>
        <v>349.44039154471642</v>
      </c>
      <c r="AS25" s="125">
        <f t="shared" si="10"/>
        <v>307.48830733932584</v>
      </c>
      <c r="AT25" s="125">
        <f t="shared" si="20"/>
        <v>233.82892551583731</v>
      </c>
    </row>
    <row r="26" spans="1:46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J26" s="141">
        <f t="shared" si="16"/>
        <v>733.34884852554364</v>
      </c>
      <c r="K26" s="134">
        <v>0.04</v>
      </c>
      <c r="L26" s="138">
        <f t="shared" si="1"/>
        <v>85.152560266335499</v>
      </c>
      <c r="M26" s="138">
        <f t="shared" si="2"/>
        <v>105.60169354126818</v>
      </c>
      <c r="N26" s="138">
        <f t="shared" si="22"/>
        <v>29.333953941021747</v>
      </c>
      <c r="O26" s="138">
        <f t="shared" si="24"/>
        <v>9.8679325556330273</v>
      </c>
      <c r="P26" s="138"/>
      <c r="Q26" s="138"/>
      <c r="R26" s="138"/>
      <c r="S26" s="140"/>
      <c r="T26" s="135"/>
      <c r="U26" s="138">
        <f t="shared" si="3"/>
        <v>229.95614030425844</v>
      </c>
      <c r="V26" s="140"/>
      <c r="W26" s="138">
        <f t="shared" si="18"/>
        <v>9.2741925944000005</v>
      </c>
      <c r="X26" s="140"/>
      <c r="Y26" s="138">
        <f>Y25*(1+$B$3)</f>
        <v>6.9556444458000009</v>
      </c>
      <c r="Z26" s="138">
        <f t="shared" si="21"/>
        <v>22.498886226843307</v>
      </c>
      <c r="AA26" s="138">
        <v>4.08</v>
      </c>
      <c r="AB26" s="138">
        <v>10.6</v>
      </c>
      <c r="AC26" s="138">
        <v>6.4</v>
      </c>
      <c r="AD26" s="138">
        <f t="shared" si="23"/>
        <v>9.6311021742978369</v>
      </c>
      <c r="AE26" s="138">
        <f t="shared" si="23"/>
        <v>7.4996287422811019</v>
      </c>
      <c r="AF26" s="140"/>
      <c r="AG26" s="140"/>
      <c r="AH26" s="140"/>
      <c r="AI26" s="140"/>
      <c r="AJ26" s="140"/>
      <c r="AK26" s="140"/>
      <c r="AL26" s="138">
        <f t="shared" si="6"/>
        <v>76.939454183622246</v>
      </c>
      <c r="AM26" s="139">
        <f t="shared" si="0"/>
        <v>153.01668612063619</v>
      </c>
      <c r="AN26" s="139">
        <f t="shared" si="7"/>
        <v>886.36553464617987</v>
      </c>
      <c r="AP26" s="125">
        <f t="shared" si="8"/>
        <v>5.1091536159801301</v>
      </c>
      <c r="AQ26" s="125">
        <f t="shared" si="15"/>
        <v>2.7503999999999995</v>
      </c>
      <c r="AR26" s="125">
        <f t="shared" si="9"/>
        <v>368.5271608224852</v>
      </c>
      <c r="AS26" s="125">
        <f t="shared" si="10"/>
        <v>322.53823963289892</v>
      </c>
      <c r="AT26" s="125">
        <f t="shared" si="20"/>
        <v>243.1820825364708</v>
      </c>
    </row>
    <row r="27" spans="1:46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J27" s="141">
        <f t="shared" si="16"/>
        <v>886.36553464617987</v>
      </c>
      <c r="K27" s="134">
        <v>0.04</v>
      </c>
      <c r="L27" s="138">
        <f t="shared" si="1"/>
        <v>86.855611471662215</v>
      </c>
      <c r="M27" s="138">
        <f t="shared" si="2"/>
        <v>106.65771047668086</v>
      </c>
      <c r="N27" s="138">
        <f t="shared" si="22"/>
        <v>35.454621385847197</v>
      </c>
      <c r="O27" s="138">
        <f t="shared" si="24"/>
        <v>10.163970532302018</v>
      </c>
      <c r="P27" s="138"/>
      <c r="Q27" s="138"/>
      <c r="R27" s="138"/>
      <c r="S27" s="140"/>
      <c r="T27" s="135"/>
      <c r="U27" s="138">
        <f t="shared" si="3"/>
        <v>239.13191386649228</v>
      </c>
      <c r="V27" s="140"/>
      <c r="W27" s="138">
        <v>9</v>
      </c>
      <c r="X27" s="140"/>
      <c r="Y27" s="138">
        <v>7</v>
      </c>
      <c r="Z27" s="138">
        <f t="shared" si="21"/>
        <v>23.173852813648608</v>
      </c>
      <c r="AA27" s="138">
        <v>4.08</v>
      </c>
      <c r="AB27" s="138">
        <v>10.9</v>
      </c>
      <c r="AC27" s="138">
        <v>6.4</v>
      </c>
      <c r="AD27" s="138">
        <f t="shared" si="23"/>
        <v>9.9200352395267721</v>
      </c>
      <c r="AE27" s="138">
        <f t="shared" si="23"/>
        <v>7.7246176045495352</v>
      </c>
      <c r="AF27" s="140"/>
      <c r="AG27" s="140"/>
      <c r="AH27" s="140"/>
      <c r="AI27" s="140"/>
      <c r="AJ27" s="140"/>
      <c r="AK27" s="140"/>
      <c r="AL27" s="138">
        <f t="shared" si="6"/>
        <v>78.198505657724908</v>
      </c>
      <c r="AM27" s="139">
        <f t="shared" si="0"/>
        <v>160.93340820876739</v>
      </c>
      <c r="AN27" s="139">
        <f t="shared" si="7"/>
        <v>1047.2989428549472</v>
      </c>
      <c r="AP27" s="125">
        <f t="shared" si="8"/>
        <v>5.211336688299733</v>
      </c>
      <c r="AQ27" s="125">
        <f t="shared" si="15"/>
        <v>2.7503999999999995</v>
      </c>
      <c r="AR27" s="125">
        <f t="shared" si="9"/>
        <v>388.47958394368436</v>
      </c>
      <c r="AS27" s="125">
        <f t="shared" si="10"/>
        <v>338.19016921821492</v>
      </c>
      <c r="AT27" s="125">
        <f t="shared" si="20"/>
        <v>252.90936583792964</v>
      </c>
    </row>
    <row r="28" spans="1:46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t="s">
        <v>135</v>
      </c>
      <c r="J28" s="141">
        <f t="shared" si="16"/>
        <v>1047.2989428549472</v>
      </c>
      <c r="K28" s="134">
        <v>0.02</v>
      </c>
      <c r="L28" s="140"/>
      <c r="M28" s="140"/>
      <c r="N28" s="138">
        <f t="shared" si="22"/>
        <v>20.945978857098943</v>
      </c>
      <c r="O28" s="138">
        <f t="shared" si="24"/>
        <v>10.468889648271078</v>
      </c>
      <c r="P28" s="140">
        <f>個案背景設定!E3</f>
        <v>34.927080000000004</v>
      </c>
      <c r="Q28" s="138">
        <f>個案背景設定!E4</f>
        <v>29.131319999999995</v>
      </c>
      <c r="R28" s="138">
        <f>PMT(0.01/12,20*12,-AR27,,1)*12</f>
        <v>21.421294804000734</v>
      </c>
      <c r="S28" s="138">
        <f>PMT(0.01/12,20*12,-AS27,,1)*12</f>
        <v>18.648267795942825</v>
      </c>
      <c r="T28" s="138">
        <f>AT27</f>
        <v>252.90936583792964</v>
      </c>
      <c r="U28" s="138">
        <f t="shared" si="3"/>
        <v>388.45219694324322</v>
      </c>
      <c r="V28" s="140"/>
      <c r="W28" s="138"/>
      <c r="X28" s="140"/>
      <c r="Y28" s="138"/>
      <c r="Z28" s="138"/>
      <c r="AA28" s="138"/>
      <c r="AB28" s="140"/>
      <c r="AC28" s="138">
        <v>4.2</v>
      </c>
      <c r="AD28" s="140"/>
      <c r="AE28" s="140"/>
      <c r="AF28" s="140"/>
      <c r="AG28" s="140"/>
      <c r="AH28" s="140"/>
      <c r="AI28" s="138">
        <f>理財目標費用終值!E18*12</f>
        <v>150.75201093510339</v>
      </c>
      <c r="AJ28" s="140"/>
      <c r="AK28" s="138"/>
      <c r="AL28" s="138">
        <f t="shared" si="6"/>
        <v>154.95201093510337</v>
      </c>
      <c r="AM28" s="139">
        <f t="shared" si="0"/>
        <v>233.50018600813985</v>
      </c>
      <c r="AN28" s="139">
        <f t="shared" si="7"/>
        <v>1280.7991288630869</v>
      </c>
      <c r="AP28" s="9"/>
      <c r="AQ28" s="9"/>
      <c r="AR28" s="9"/>
      <c r="AS28" s="9"/>
      <c r="AT28" s="9"/>
    </row>
    <row r="29" spans="1:46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J29" s="141">
        <f t="shared" si="16"/>
        <v>1280.7991288630869</v>
      </c>
      <c r="K29" s="134">
        <v>0.02</v>
      </c>
      <c r="L29" s="140"/>
      <c r="M29" s="140"/>
      <c r="N29" s="138">
        <f t="shared" si="22"/>
        <v>25.61598257726174</v>
      </c>
      <c r="O29" s="138">
        <f t="shared" si="24"/>
        <v>10.782956337719211</v>
      </c>
      <c r="P29" s="140">
        <f>P28*(1+$B$3)</f>
        <v>35.974892400000002</v>
      </c>
      <c r="Q29" s="140">
        <f>Q28*(1+$B$3)</f>
        <v>30.005259599999995</v>
      </c>
      <c r="R29" s="138">
        <f>R28</f>
        <v>21.421294804000734</v>
      </c>
      <c r="S29" s="140">
        <f>S28</f>
        <v>18.648267795942825</v>
      </c>
      <c r="T29" s="135"/>
      <c r="U29" s="138">
        <f t="shared" si="3"/>
        <v>142.4486535149245</v>
      </c>
      <c r="V29" s="140"/>
      <c r="W29" s="138"/>
      <c r="X29" s="140"/>
      <c r="Y29" s="138"/>
      <c r="Z29" s="140"/>
      <c r="AA29" s="140"/>
      <c r="AB29" s="140"/>
      <c r="AC29" s="138">
        <v>4.2</v>
      </c>
      <c r="AD29" s="140"/>
      <c r="AE29" s="140"/>
      <c r="AF29" s="140"/>
      <c r="AG29" s="140"/>
      <c r="AH29" s="140"/>
      <c r="AI29" s="138">
        <f>AI28*(1+$B$3)</f>
        <v>155.2745712631565</v>
      </c>
      <c r="AJ29" s="140"/>
      <c r="AK29" s="140"/>
      <c r="AL29" s="138">
        <f t="shared" si="6"/>
        <v>159.47457126315649</v>
      </c>
      <c r="AM29" s="139">
        <f t="shared" si="0"/>
        <v>-17.02591774823199</v>
      </c>
      <c r="AN29" s="139">
        <f t="shared" si="7"/>
        <v>1263.773211114855</v>
      </c>
    </row>
    <row r="30" spans="1:46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J30" s="141">
        <f t="shared" si="16"/>
        <v>1263.773211114855</v>
      </c>
      <c r="K30" s="134">
        <v>0.02</v>
      </c>
      <c r="L30" s="140"/>
      <c r="M30" s="140"/>
      <c r="N30" s="138">
        <f t="shared" si="22"/>
        <v>25.275464222297103</v>
      </c>
      <c r="O30" s="138">
        <f t="shared" si="24"/>
        <v>11.106445027850787</v>
      </c>
      <c r="P30" s="140">
        <f t="shared" si="24"/>
        <v>37.054139171999999</v>
      </c>
      <c r="Q30" s="140">
        <f t="shared" si="24"/>
        <v>30.905417387999996</v>
      </c>
      <c r="R30" s="138">
        <f t="shared" ref="R30:S45" si="25">R29</f>
        <v>21.421294804000734</v>
      </c>
      <c r="S30" s="140">
        <f t="shared" si="25"/>
        <v>18.648267795942825</v>
      </c>
      <c r="T30" s="135"/>
      <c r="U30" s="138">
        <f t="shared" si="3"/>
        <v>144.41102841009146</v>
      </c>
      <c r="V30" s="140"/>
      <c r="W30" s="138"/>
      <c r="X30" s="140"/>
      <c r="Y30" s="138"/>
      <c r="Z30" s="140"/>
      <c r="AA30" s="140"/>
      <c r="AB30" s="140"/>
      <c r="AC30" s="138">
        <v>4.2</v>
      </c>
      <c r="AD30" s="140"/>
      <c r="AE30" s="140"/>
      <c r="AF30" s="140"/>
      <c r="AG30" s="140"/>
      <c r="AH30" s="140"/>
      <c r="AI30" s="138">
        <f>AI29*(1+$B$3)</f>
        <v>159.9328084010512</v>
      </c>
      <c r="AJ30" s="140"/>
      <c r="AK30" s="140"/>
      <c r="AL30" s="138">
        <f t="shared" si="6"/>
        <v>164.13280840105119</v>
      </c>
      <c r="AM30" s="139">
        <f t="shared" si="0"/>
        <v>-19.721779990959732</v>
      </c>
      <c r="AN30" s="139">
        <f t="shared" si="7"/>
        <v>1244.0514311238953</v>
      </c>
    </row>
    <row r="31" spans="1:46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J31" s="141">
        <f t="shared" si="16"/>
        <v>1244.0514311238953</v>
      </c>
      <c r="K31" s="134">
        <v>0.02</v>
      </c>
      <c r="L31" s="140"/>
      <c r="M31" s="140"/>
      <c r="N31" s="138">
        <f t="shared" si="22"/>
        <v>24.881028622477906</v>
      </c>
      <c r="O31" s="138">
        <f t="shared" si="24"/>
        <v>11.439638378686311</v>
      </c>
      <c r="P31" s="140">
        <f t="shared" si="24"/>
        <v>38.165763347160002</v>
      </c>
      <c r="Q31" s="140">
        <f t="shared" si="24"/>
        <v>31.832579909639996</v>
      </c>
      <c r="R31" s="138">
        <f t="shared" si="25"/>
        <v>21.421294804000734</v>
      </c>
      <c r="S31" s="140">
        <f t="shared" si="25"/>
        <v>18.648267795942825</v>
      </c>
      <c r="T31" s="135"/>
      <c r="U31" s="138">
        <f t="shared" si="3"/>
        <v>146.38857285790777</v>
      </c>
      <c r="V31" s="140"/>
      <c r="W31" s="138"/>
      <c r="X31" s="140"/>
      <c r="Y31" s="138"/>
      <c r="Z31" s="140"/>
      <c r="AA31" s="140"/>
      <c r="AB31" s="140"/>
      <c r="AC31" s="138">
        <v>4.2</v>
      </c>
      <c r="AD31" s="140"/>
      <c r="AE31" s="140"/>
      <c r="AF31" s="140"/>
      <c r="AG31" s="140"/>
      <c r="AH31" s="140"/>
      <c r="AI31" s="138">
        <f t="shared" ref="AI31:AI53" si="26">AI30*(1+$B$3)</f>
        <v>164.73079265308274</v>
      </c>
      <c r="AJ31" s="140"/>
      <c r="AK31" s="140"/>
      <c r="AL31" s="138">
        <f t="shared" si="6"/>
        <v>168.93079265308273</v>
      </c>
      <c r="AM31" s="139">
        <f t="shared" si="0"/>
        <v>-22.542219795174958</v>
      </c>
      <c r="AN31" s="139">
        <f t="shared" si="7"/>
        <v>1221.5092113287203</v>
      </c>
    </row>
    <row r="32" spans="1:46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J32" s="141">
        <f t="shared" si="16"/>
        <v>1221.5092113287203</v>
      </c>
      <c r="K32" s="134">
        <v>0.02</v>
      </c>
      <c r="L32" s="140"/>
      <c r="M32" s="140"/>
      <c r="N32" s="138">
        <f t="shared" si="22"/>
        <v>24.430184226574408</v>
      </c>
      <c r="O32" s="138">
        <f t="shared" si="24"/>
        <v>11.782827530046902</v>
      </c>
      <c r="P32" s="140">
        <f t="shared" si="24"/>
        <v>39.310736247574802</v>
      </c>
      <c r="Q32" s="140">
        <f t="shared" si="24"/>
        <v>32.787557306929195</v>
      </c>
      <c r="R32" s="138">
        <f t="shared" si="25"/>
        <v>21.421294804000734</v>
      </c>
      <c r="S32" s="140">
        <f t="shared" si="25"/>
        <v>18.648267795942825</v>
      </c>
      <c r="T32" s="135"/>
      <c r="U32" s="138">
        <f t="shared" si="3"/>
        <v>148.38086791106883</v>
      </c>
      <c r="V32" s="140"/>
      <c r="W32" s="138"/>
      <c r="X32" s="140"/>
      <c r="Y32" s="138"/>
      <c r="Z32" s="140"/>
      <c r="AA32" s="140"/>
      <c r="AB32" s="140"/>
      <c r="AC32" s="138">
        <v>4.2</v>
      </c>
      <c r="AD32" s="140"/>
      <c r="AE32" s="140"/>
      <c r="AF32" s="140"/>
      <c r="AG32" s="140"/>
      <c r="AH32" s="140"/>
      <c r="AI32" s="138">
        <f t="shared" si="26"/>
        <v>169.67271643267523</v>
      </c>
      <c r="AJ32" s="140"/>
      <c r="AK32" s="140"/>
      <c r="AL32" s="138">
        <f t="shared" si="6"/>
        <v>173.87271643267522</v>
      </c>
      <c r="AM32" s="139">
        <f t="shared" si="0"/>
        <v>-25.491848521606386</v>
      </c>
      <c r="AN32" s="139">
        <f t="shared" si="7"/>
        <v>1196.0173628071138</v>
      </c>
    </row>
    <row r="33" spans="4:40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J33" s="141">
        <f t="shared" si="16"/>
        <v>1196.0173628071138</v>
      </c>
      <c r="K33" s="134">
        <v>0.02</v>
      </c>
      <c r="L33" s="140"/>
      <c r="M33" s="140"/>
      <c r="N33" s="138">
        <f t="shared" si="22"/>
        <v>23.920347256142279</v>
      </c>
      <c r="O33" s="138">
        <f t="shared" si="24"/>
        <v>12.136312355948309</v>
      </c>
      <c r="P33" s="140">
        <f t="shared" si="24"/>
        <v>40.490058335002047</v>
      </c>
      <c r="Q33" s="140">
        <f t="shared" si="24"/>
        <v>33.771184026137071</v>
      </c>
      <c r="R33" s="138">
        <f t="shared" si="25"/>
        <v>21.421294804000734</v>
      </c>
      <c r="S33" s="140">
        <f t="shared" si="25"/>
        <v>18.648267795942825</v>
      </c>
      <c r="T33" s="135"/>
      <c r="U33" s="138">
        <f t="shared" si="3"/>
        <v>150.38746457317325</v>
      </c>
      <c r="V33" s="140"/>
      <c r="W33" s="138"/>
      <c r="X33" s="140"/>
      <c r="Y33" s="138"/>
      <c r="Z33" s="140"/>
      <c r="AA33" s="140"/>
      <c r="AB33" s="140"/>
      <c r="AC33" s="138">
        <v>4.2</v>
      </c>
      <c r="AD33" s="140"/>
      <c r="AE33" s="140"/>
      <c r="AF33" s="140"/>
      <c r="AG33" s="140"/>
      <c r="AH33" s="140"/>
      <c r="AI33" s="138">
        <f t="shared" si="26"/>
        <v>174.76289792565549</v>
      </c>
      <c r="AJ33" s="140"/>
      <c r="AK33" s="140"/>
      <c r="AL33" s="138">
        <f t="shared" si="6"/>
        <v>178.96289792565548</v>
      </c>
      <c r="AM33" s="139">
        <f t="shared" si="0"/>
        <v>-28.575433352482236</v>
      </c>
      <c r="AN33" s="139">
        <f t="shared" si="7"/>
        <v>1167.4419294546317</v>
      </c>
    </row>
    <row r="34" spans="4:40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J34" s="141">
        <f t="shared" si="16"/>
        <v>1167.4419294546317</v>
      </c>
      <c r="K34" s="134">
        <v>0.02</v>
      </c>
      <c r="L34" s="140"/>
      <c r="M34" s="140"/>
      <c r="N34" s="138">
        <f t="shared" si="22"/>
        <v>23.348838589092633</v>
      </c>
      <c r="O34" s="138">
        <f t="shared" si="24"/>
        <v>12.500401726626759</v>
      </c>
      <c r="P34" s="140">
        <f t="shared" si="24"/>
        <v>41.704760085052108</v>
      </c>
      <c r="Q34" s="140">
        <f t="shared" si="24"/>
        <v>34.784319546921182</v>
      </c>
      <c r="R34" s="138">
        <f t="shared" si="25"/>
        <v>21.421294804000734</v>
      </c>
      <c r="S34" s="140">
        <f t="shared" si="25"/>
        <v>18.648267795942825</v>
      </c>
      <c r="T34" s="135"/>
      <c r="U34" s="138">
        <f t="shared" si="3"/>
        <v>152.40788254763623</v>
      </c>
      <c r="V34" s="140"/>
      <c r="W34" s="138"/>
      <c r="X34" s="140"/>
      <c r="Y34" s="138"/>
      <c r="Z34" s="140"/>
      <c r="AA34" s="140"/>
      <c r="AB34" s="140"/>
      <c r="AC34" s="138">
        <v>4.2</v>
      </c>
      <c r="AD34" s="140"/>
      <c r="AE34" s="140"/>
      <c r="AF34" s="140"/>
      <c r="AG34" s="140"/>
      <c r="AH34" s="140"/>
      <c r="AI34" s="138">
        <f t="shared" si="26"/>
        <v>180.00578486342516</v>
      </c>
      <c r="AJ34" s="140"/>
      <c r="AK34" s="140"/>
      <c r="AL34" s="138">
        <f t="shared" si="6"/>
        <v>184.20578486342515</v>
      </c>
      <c r="AM34" s="139">
        <f t="shared" si="0"/>
        <v>-31.797902315788917</v>
      </c>
      <c r="AN34" s="139">
        <f t="shared" si="7"/>
        <v>1135.6440271388428</v>
      </c>
    </row>
    <row r="35" spans="4:40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J35" s="141">
        <f t="shared" si="16"/>
        <v>1135.6440271388428</v>
      </c>
      <c r="K35" s="134">
        <v>0.02</v>
      </c>
      <c r="L35" s="140"/>
      <c r="M35" s="140"/>
      <c r="N35" s="138">
        <f t="shared" si="22"/>
        <v>22.712880542776858</v>
      </c>
      <c r="O35" s="138">
        <f t="shared" si="24"/>
        <v>12.875413778425562</v>
      </c>
      <c r="P35" s="140">
        <f t="shared" si="24"/>
        <v>42.955902887603671</v>
      </c>
      <c r="Q35" s="140">
        <f t="shared" si="24"/>
        <v>35.827849133328819</v>
      </c>
      <c r="R35" s="138">
        <f t="shared" si="25"/>
        <v>21.421294804000734</v>
      </c>
      <c r="S35" s="140">
        <f t="shared" si="25"/>
        <v>18.648267795942825</v>
      </c>
      <c r="T35" s="135"/>
      <c r="U35" s="138">
        <f t="shared" si="3"/>
        <v>154.44160894207843</v>
      </c>
      <c r="V35" s="140"/>
      <c r="W35" s="138"/>
      <c r="X35" s="140"/>
      <c r="Y35" s="138"/>
      <c r="Z35" s="140"/>
      <c r="AA35" s="140"/>
      <c r="AB35" s="140"/>
      <c r="AC35" s="138">
        <v>4.2</v>
      </c>
      <c r="AD35" s="140"/>
      <c r="AE35" s="140"/>
      <c r="AF35" s="140"/>
      <c r="AG35" s="140"/>
      <c r="AH35" s="140"/>
      <c r="AI35" s="138">
        <f t="shared" si="26"/>
        <v>185.40595840932792</v>
      </c>
      <c r="AJ35" s="140"/>
      <c r="AK35" s="140"/>
      <c r="AL35" s="138">
        <f t="shared" si="6"/>
        <v>189.60595840932791</v>
      </c>
      <c r="AM35" s="139">
        <f t="shared" si="0"/>
        <v>-35.16434946724948</v>
      </c>
      <c r="AN35" s="139">
        <f t="shared" si="7"/>
        <v>1100.4796776715934</v>
      </c>
    </row>
    <row r="36" spans="4:40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J36" s="141">
        <f t="shared" si="16"/>
        <v>1100.4796776715934</v>
      </c>
      <c r="K36" s="134">
        <v>0.02</v>
      </c>
      <c r="L36" s="140"/>
      <c r="M36" s="140"/>
      <c r="N36" s="138">
        <f t="shared" si="22"/>
        <v>22.00959355343187</v>
      </c>
      <c r="O36" s="138">
        <f t="shared" si="24"/>
        <v>13.26167619177833</v>
      </c>
      <c r="P36" s="140">
        <f t="shared" si="24"/>
        <v>44.244579974231783</v>
      </c>
      <c r="Q36" s="140">
        <f t="shared" si="24"/>
        <v>36.902684607328688</v>
      </c>
      <c r="R36" s="138">
        <f t="shared" si="25"/>
        <v>21.421294804000734</v>
      </c>
      <c r="S36" s="140">
        <f t="shared" si="25"/>
        <v>18.648267795942825</v>
      </c>
      <c r="T36" s="135"/>
      <c r="U36" s="138">
        <f t="shared" si="3"/>
        <v>156.48809692671421</v>
      </c>
      <c r="V36" s="140"/>
      <c r="W36" s="138"/>
      <c r="X36" s="140"/>
      <c r="Y36" s="138"/>
      <c r="Z36" s="140"/>
      <c r="AA36" s="140"/>
      <c r="AB36" s="140"/>
      <c r="AC36" s="138">
        <v>4.2</v>
      </c>
      <c r="AD36" s="140"/>
      <c r="AE36" s="140"/>
      <c r="AF36" s="140"/>
      <c r="AG36" s="140"/>
      <c r="AH36" s="140"/>
      <c r="AI36" s="138">
        <f t="shared" si="26"/>
        <v>190.96813716160776</v>
      </c>
      <c r="AJ36" s="140"/>
      <c r="AK36" s="140"/>
      <c r="AL36" s="138">
        <f t="shared" si="6"/>
        <v>195.16813716160775</v>
      </c>
      <c r="AM36" s="139">
        <f t="shared" si="0"/>
        <v>-38.680040234893539</v>
      </c>
      <c r="AN36" s="139">
        <f t="shared" si="7"/>
        <v>1061.7996374366999</v>
      </c>
    </row>
    <row r="37" spans="4:40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J37" s="141">
        <f t="shared" si="16"/>
        <v>1061.7996374366999</v>
      </c>
      <c r="K37" s="134">
        <v>0.02</v>
      </c>
      <c r="L37" s="140"/>
      <c r="M37" s="140"/>
      <c r="N37" s="138">
        <f t="shared" si="22"/>
        <v>21.235992748733999</v>
      </c>
      <c r="O37" s="138">
        <f t="shared" ref="O37:Q52" si="27">O36*(1+$B$3)</f>
        <v>13.65952647753168</v>
      </c>
      <c r="P37" s="140">
        <f t="shared" si="27"/>
        <v>45.571917373458739</v>
      </c>
      <c r="Q37" s="140">
        <f t="shared" si="27"/>
        <v>38.009765145548549</v>
      </c>
      <c r="R37" s="138">
        <f t="shared" si="25"/>
        <v>21.421294804000734</v>
      </c>
      <c r="S37" s="140">
        <f t="shared" si="25"/>
        <v>18.648267795942825</v>
      </c>
      <c r="T37" s="135"/>
      <c r="U37" s="138">
        <f t="shared" si="3"/>
        <v>158.5467643452165</v>
      </c>
      <c r="V37" s="140"/>
      <c r="W37" s="138"/>
      <c r="X37" s="140"/>
      <c r="Y37" s="138"/>
      <c r="Z37" s="140"/>
      <c r="AA37" s="140"/>
      <c r="AB37" s="140"/>
      <c r="AC37" s="138">
        <v>4.2</v>
      </c>
      <c r="AD37" s="140"/>
      <c r="AE37" s="140"/>
      <c r="AF37" s="140"/>
      <c r="AG37" s="140"/>
      <c r="AH37" s="140"/>
      <c r="AI37" s="138">
        <f t="shared" si="26"/>
        <v>196.69718127645601</v>
      </c>
      <c r="AJ37" s="140"/>
      <c r="AK37" s="140"/>
      <c r="AL37" s="138">
        <f t="shared" si="6"/>
        <v>200.897181276456</v>
      </c>
      <c r="AM37" s="139">
        <f t="shared" si="0"/>
        <v>-42.350416931239494</v>
      </c>
      <c r="AN37" s="139">
        <f t="shared" si="7"/>
        <v>1019.4492205054604</v>
      </c>
    </row>
    <row r="38" spans="4:40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J38" s="141">
        <f t="shared" si="16"/>
        <v>1019.4492205054604</v>
      </c>
      <c r="K38" s="134">
        <v>0.02</v>
      </c>
      <c r="L38" s="140"/>
      <c r="M38" s="140"/>
      <c r="N38" s="138">
        <f t="shared" si="22"/>
        <v>20.388984410109209</v>
      </c>
      <c r="O38" s="138">
        <f t="shared" si="27"/>
        <v>14.06931227185763</v>
      </c>
      <c r="P38" s="140">
        <f t="shared" si="27"/>
        <v>46.939074894662504</v>
      </c>
      <c r="Q38" s="140">
        <f t="shared" si="27"/>
        <v>39.150058099915007</v>
      </c>
      <c r="R38" s="138">
        <f t="shared" si="25"/>
        <v>21.421294804000734</v>
      </c>
      <c r="S38" s="140">
        <f t="shared" si="25"/>
        <v>18.648267795942825</v>
      </c>
      <c r="T38" s="135"/>
      <c r="U38" s="138">
        <f t="shared" si="3"/>
        <v>160.61699227648791</v>
      </c>
      <c r="V38" s="140"/>
      <c r="W38" s="138"/>
      <c r="X38" s="140"/>
      <c r="Y38" s="138"/>
      <c r="Z38" s="140"/>
      <c r="AA38" s="140"/>
      <c r="AB38" s="140"/>
      <c r="AC38" s="138">
        <v>4.2</v>
      </c>
      <c r="AD38" s="140"/>
      <c r="AE38" s="140"/>
      <c r="AF38" s="140"/>
      <c r="AG38" s="140"/>
      <c r="AH38" s="140"/>
      <c r="AI38" s="138">
        <f t="shared" si="26"/>
        <v>202.59809671474969</v>
      </c>
      <c r="AJ38" s="140"/>
      <c r="AK38" s="140"/>
      <c r="AL38" s="138">
        <f t="shared" si="6"/>
        <v>206.79809671474968</v>
      </c>
      <c r="AM38" s="139">
        <f t="shared" si="0"/>
        <v>-46.181104438261769</v>
      </c>
      <c r="AN38" s="139">
        <f t="shared" si="7"/>
        <v>973.26811606719866</v>
      </c>
    </row>
    <row r="39" spans="4:40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J39" s="141">
        <f t="shared" si="16"/>
        <v>973.26811606719866</v>
      </c>
      <c r="K39" s="134">
        <v>0.02</v>
      </c>
      <c r="L39" s="140"/>
      <c r="M39" s="140"/>
      <c r="N39" s="138">
        <f t="shared" si="22"/>
        <v>19.465362321343974</v>
      </c>
      <c r="O39" s="138">
        <f t="shared" si="27"/>
        <v>14.49139164001336</v>
      </c>
      <c r="P39" s="140">
        <f t="shared" si="27"/>
        <v>48.347247141502379</v>
      </c>
      <c r="Q39" s="140">
        <f t="shared" si="27"/>
        <v>40.324559842912457</v>
      </c>
      <c r="R39" s="138">
        <f t="shared" si="25"/>
        <v>21.421294804000734</v>
      </c>
      <c r="S39" s="140">
        <f t="shared" si="25"/>
        <v>18.648267795942825</v>
      </c>
      <c r="T39" s="135"/>
      <c r="U39" s="138">
        <f t="shared" si="3"/>
        <v>162.6981235457157</v>
      </c>
      <c r="V39" s="140"/>
      <c r="W39" s="138"/>
      <c r="X39" s="140"/>
      <c r="Y39" s="138"/>
      <c r="Z39" s="140"/>
      <c r="AA39" s="140"/>
      <c r="AB39" s="140"/>
      <c r="AC39" s="140"/>
      <c r="AD39" s="140"/>
      <c r="AE39" s="140"/>
      <c r="AF39" s="140"/>
      <c r="AG39" s="140"/>
      <c r="AH39" s="140"/>
      <c r="AI39" s="138">
        <f t="shared" si="26"/>
        <v>208.67603961619218</v>
      </c>
      <c r="AJ39" s="140"/>
      <c r="AK39" s="140"/>
      <c r="AL39" s="138">
        <f t="shared" si="6"/>
        <v>208.67603961619218</v>
      </c>
      <c r="AM39" s="139">
        <f t="shared" si="0"/>
        <v>-45.977916070476482</v>
      </c>
      <c r="AN39" s="139">
        <f t="shared" si="7"/>
        <v>927.29019999672221</v>
      </c>
    </row>
    <row r="40" spans="4:40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J40" s="141">
        <f t="shared" si="16"/>
        <v>927.29019999672221</v>
      </c>
      <c r="K40" s="134">
        <v>0.02</v>
      </c>
      <c r="L40" s="140"/>
      <c r="M40" s="140"/>
      <c r="N40" s="138">
        <f t="shared" si="22"/>
        <v>18.545803999934446</v>
      </c>
      <c r="O40" s="138">
        <f t="shared" si="27"/>
        <v>14.926133389213762</v>
      </c>
      <c r="P40" s="140">
        <f t="shared" si="27"/>
        <v>49.797664555747453</v>
      </c>
      <c r="Q40" s="140">
        <f t="shared" si="27"/>
        <v>41.534296638199834</v>
      </c>
      <c r="R40" s="138">
        <f t="shared" si="25"/>
        <v>21.421294804000734</v>
      </c>
      <c r="S40" s="140">
        <f t="shared" si="25"/>
        <v>18.648267795942825</v>
      </c>
      <c r="T40" s="135"/>
      <c r="U40" s="138">
        <f t="shared" si="3"/>
        <v>164.87346118303904</v>
      </c>
      <c r="V40" s="140"/>
      <c r="W40" s="138"/>
      <c r="X40" s="140"/>
      <c r="Y40" s="138"/>
      <c r="Z40" s="140"/>
      <c r="AA40" s="140"/>
      <c r="AB40" s="140"/>
      <c r="AC40" s="140"/>
      <c r="AD40" s="140"/>
      <c r="AE40" s="140"/>
      <c r="AF40" s="140"/>
      <c r="AG40" s="140"/>
      <c r="AH40" s="140"/>
      <c r="AI40" s="138">
        <f t="shared" si="26"/>
        <v>214.93632080467796</v>
      </c>
      <c r="AJ40" s="140"/>
      <c r="AK40" s="140"/>
      <c r="AL40" s="138">
        <f t="shared" si="6"/>
        <v>214.93632080467796</v>
      </c>
      <c r="AM40" s="139">
        <f t="shared" si="0"/>
        <v>-50.062859621638921</v>
      </c>
      <c r="AN40" s="139">
        <f t="shared" si="7"/>
        <v>877.22734037508326</v>
      </c>
    </row>
    <row r="41" spans="4:40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J41" s="141">
        <f t="shared" si="16"/>
        <v>877.22734037508326</v>
      </c>
      <c r="K41" s="134">
        <v>0.02</v>
      </c>
      <c r="L41" s="140"/>
      <c r="M41" s="140"/>
      <c r="N41" s="138">
        <f t="shared" si="22"/>
        <v>17.544546807501664</v>
      </c>
      <c r="O41" s="138">
        <f t="shared" si="27"/>
        <v>15.373917390890176</v>
      </c>
      <c r="P41" s="140">
        <f t="shared" si="27"/>
        <v>51.291594492419875</v>
      </c>
      <c r="Q41" s="140">
        <f t="shared" si="27"/>
        <v>42.780325537345831</v>
      </c>
      <c r="R41" s="138">
        <f t="shared" si="25"/>
        <v>21.421294804000734</v>
      </c>
      <c r="S41" s="140">
        <f t="shared" si="25"/>
        <v>18.648267795942825</v>
      </c>
      <c r="T41" s="135"/>
      <c r="U41" s="138">
        <f t="shared" si="3"/>
        <v>167.05994682810109</v>
      </c>
      <c r="V41" s="140"/>
      <c r="W41" s="138"/>
      <c r="X41" s="140"/>
      <c r="Y41" s="138"/>
      <c r="Z41" s="140"/>
      <c r="AA41" s="140"/>
      <c r="AB41" s="140"/>
      <c r="AC41" s="140"/>
      <c r="AD41" s="140"/>
      <c r="AE41" s="140"/>
      <c r="AF41" s="140"/>
      <c r="AG41" s="140"/>
      <c r="AH41" s="140"/>
      <c r="AI41" s="138">
        <f t="shared" si="26"/>
        <v>221.38441042881831</v>
      </c>
      <c r="AJ41" s="140"/>
      <c r="AK41" s="140"/>
      <c r="AL41" s="138">
        <f t="shared" si="6"/>
        <v>221.38441042881831</v>
      </c>
      <c r="AM41" s="139">
        <f t="shared" si="0"/>
        <v>-54.324463600717223</v>
      </c>
      <c r="AN41" s="139">
        <f t="shared" si="7"/>
        <v>822.90287677436606</v>
      </c>
    </row>
    <row r="42" spans="4:40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J42" s="141">
        <f t="shared" si="16"/>
        <v>822.90287677436606</v>
      </c>
      <c r="K42" s="134">
        <v>0.02</v>
      </c>
      <c r="L42" s="140"/>
      <c r="M42" s="140"/>
      <c r="N42" s="138">
        <f t="shared" si="22"/>
        <v>16.45805753548732</v>
      </c>
      <c r="O42" s="138">
        <f t="shared" si="27"/>
        <v>15.835134912616882</v>
      </c>
      <c r="P42" s="140">
        <f t="shared" si="27"/>
        <v>52.830342327192476</v>
      </c>
      <c r="Q42" s="140">
        <f t="shared" si="27"/>
        <v>44.06373530346621</v>
      </c>
      <c r="R42" s="138">
        <f t="shared" si="25"/>
        <v>21.421294804000734</v>
      </c>
      <c r="S42" s="140">
        <f t="shared" si="25"/>
        <v>18.648267795942825</v>
      </c>
      <c r="T42" s="135"/>
      <c r="U42" s="138">
        <f t="shared" si="3"/>
        <v>169.25683267870642</v>
      </c>
      <c r="V42" s="140"/>
      <c r="W42" s="138"/>
      <c r="X42" s="140"/>
      <c r="Y42" s="138"/>
      <c r="Z42" s="140"/>
      <c r="AA42" s="140"/>
      <c r="AB42" s="140"/>
      <c r="AC42" s="140"/>
      <c r="AD42" s="140"/>
      <c r="AE42" s="140"/>
      <c r="AF42" s="140"/>
      <c r="AG42" s="140"/>
      <c r="AH42" s="140"/>
      <c r="AI42" s="138">
        <f t="shared" si="26"/>
        <v>228.02594274168285</v>
      </c>
      <c r="AJ42" s="140"/>
      <c r="AK42" s="140"/>
      <c r="AL42" s="138">
        <f t="shared" si="6"/>
        <v>228.02594274168285</v>
      </c>
      <c r="AM42" s="139">
        <f t="shared" si="0"/>
        <v>-58.769110062976438</v>
      </c>
      <c r="AN42" s="139">
        <f t="shared" si="7"/>
        <v>764.13376671138963</v>
      </c>
    </row>
    <row r="43" spans="4:40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J43" s="141">
        <f t="shared" si="16"/>
        <v>764.13376671138963</v>
      </c>
      <c r="K43" s="134">
        <v>0.02</v>
      </c>
      <c r="L43" s="140"/>
      <c r="M43" s="140"/>
      <c r="N43" s="138">
        <f t="shared" si="22"/>
        <v>15.282675334227793</v>
      </c>
      <c r="O43" s="138">
        <f t="shared" si="27"/>
        <v>16.31018895999539</v>
      </c>
      <c r="P43" s="140">
        <f t="shared" si="27"/>
        <v>54.415252597008248</v>
      </c>
      <c r="Q43" s="140">
        <f t="shared" si="27"/>
        <v>45.385647362570197</v>
      </c>
      <c r="R43" s="138">
        <f t="shared" si="25"/>
        <v>21.421294804000734</v>
      </c>
      <c r="S43" s="140">
        <f t="shared" si="25"/>
        <v>18.648267795942825</v>
      </c>
      <c r="T43" s="135"/>
      <c r="U43" s="138">
        <f t="shared" si="3"/>
        <v>171.46332685374517</v>
      </c>
      <c r="V43" s="140"/>
      <c r="W43" s="138"/>
      <c r="X43" s="140"/>
      <c r="Y43" s="138"/>
      <c r="Z43" s="140"/>
      <c r="AA43" s="140"/>
      <c r="AB43" s="140"/>
      <c r="AC43" s="140"/>
      <c r="AD43" s="140"/>
      <c r="AE43" s="140"/>
      <c r="AF43" s="140"/>
      <c r="AG43" s="140"/>
      <c r="AH43" s="140"/>
      <c r="AI43" s="138">
        <f t="shared" si="26"/>
        <v>234.86672102393334</v>
      </c>
      <c r="AJ43" s="140"/>
      <c r="AK43" s="140"/>
      <c r="AL43" s="138">
        <f t="shared" si="6"/>
        <v>234.86672102393334</v>
      </c>
      <c r="AM43" s="139">
        <f t="shared" si="0"/>
        <v>-63.403394170188164</v>
      </c>
      <c r="AN43" s="139">
        <f t="shared" si="7"/>
        <v>700.7303725412014</v>
      </c>
    </row>
    <row r="44" spans="4:40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J44" s="141">
        <f t="shared" si="16"/>
        <v>700.7303725412014</v>
      </c>
      <c r="K44" s="134">
        <v>0.02</v>
      </c>
      <c r="L44" s="140"/>
      <c r="M44" s="140"/>
      <c r="N44" s="138">
        <f t="shared" si="22"/>
        <v>14.014607450824029</v>
      </c>
      <c r="O44" s="138">
        <f t="shared" si="27"/>
        <v>16.799494628795252</v>
      </c>
      <c r="P44" s="140">
        <f t="shared" si="27"/>
        <v>56.0477101749185</v>
      </c>
      <c r="Q44" s="140">
        <f t="shared" si="27"/>
        <v>46.747216783447307</v>
      </c>
      <c r="R44" s="138">
        <f t="shared" si="25"/>
        <v>21.421294804000734</v>
      </c>
      <c r="S44" s="140">
        <f t="shared" si="25"/>
        <v>18.648267795942825</v>
      </c>
      <c r="T44" s="135"/>
      <c r="U44" s="138">
        <f t="shared" si="3"/>
        <v>173.67859163792863</v>
      </c>
      <c r="V44" s="140"/>
      <c r="W44" s="138"/>
      <c r="X44" s="140"/>
      <c r="Y44" s="138"/>
      <c r="Z44" s="140"/>
      <c r="AA44" s="140"/>
      <c r="AB44" s="140"/>
      <c r="AC44" s="140"/>
      <c r="AD44" s="140"/>
      <c r="AE44" s="140"/>
      <c r="AF44" s="140"/>
      <c r="AG44" s="140"/>
      <c r="AH44" s="140"/>
      <c r="AI44" s="138">
        <f t="shared" si="26"/>
        <v>241.91272265465133</v>
      </c>
      <c r="AJ44" s="140"/>
      <c r="AK44" s="140"/>
      <c r="AL44" s="138">
        <f t="shared" si="6"/>
        <v>241.91272265465133</v>
      </c>
      <c r="AM44" s="139">
        <f t="shared" si="0"/>
        <v>-68.234131016722699</v>
      </c>
      <c r="AN44" s="139">
        <f t="shared" si="7"/>
        <v>632.49624152447871</v>
      </c>
    </row>
    <row r="45" spans="4:40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J45" s="141">
        <f t="shared" si="16"/>
        <v>632.49624152447871</v>
      </c>
      <c r="K45" s="134">
        <v>0.02</v>
      </c>
      <c r="L45" s="140"/>
      <c r="M45" s="140"/>
      <c r="N45" s="138">
        <f t="shared" si="22"/>
        <v>12.649924830489574</v>
      </c>
      <c r="O45" s="138">
        <f t="shared" si="27"/>
        <v>17.303479467659109</v>
      </c>
      <c r="P45" s="140">
        <f t="shared" si="27"/>
        <v>57.729141480166057</v>
      </c>
      <c r="Q45" s="140">
        <f t="shared" si="27"/>
        <v>48.149633286950724</v>
      </c>
      <c r="R45" s="138">
        <f t="shared" si="25"/>
        <v>21.421294804000734</v>
      </c>
      <c r="S45" s="140">
        <f t="shared" si="25"/>
        <v>18.648267795942825</v>
      </c>
      <c r="T45" s="135"/>
      <c r="U45" s="138">
        <f t="shared" si="3"/>
        <v>175.90174166520899</v>
      </c>
      <c r="V45" s="140"/>
      <c r="W45" s="138"/>
      <c r="X45" s="140"/>
      <c r="Y45" s="138"/>
      <c r="Z45" s="140"/>
      <c r="AA45" s="140"/>
      <c r="AB45" s="140"/>
      <c r="AC45" s="140"/>
      <c r="AD45" s="140"/>
      <c r="AE45" s="140"/>
      <c r="AF45" s="140"/>
      <c r="AG45" s="140"/>
      <c r="AH45" s="140"/>
      <c r="AI45" s="138">
        <f t="shared" si="26"/>
        <v>249.17010433429087</v>
      </c>
      <c r="AJ45" s="140"/>
      <c r="AK45" s="140"/>
      <c r="AL45" s="138">
        <f t="shared" si="6"/>
        <v>249.17010433429087</v>
      </c>
      <c r="AM45" s="139">
        <f t="shared" si="0"/>
        <v>-73.268362669081881</v>
      </c>
      <c r="AN45" s="139">
        <f t="shared" si="7"/>
        <v>559.22787885539685</v>
      </c>
    </row>
    <row r="46" spans="4:40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J46" s="141">
        <f t="shared" si="16"/>
        <v>559.22787885539685</v>
      </c>
      <c r="K46" s="134">
        <v>0.02</v>
      </c>
      <c r="L46" s="140"/>
      <c r="M46" s="140"/>
      <c r="N46" s="138">
        <f t="shared" si="22"/>
        <v>11.184557577107936</v>
      </c>
      <c r="O46" s="138">
        <f t="shared" si="27"/>
        <v>17.822583851688883</v>
      </c>
      <c r="P46" s="140">
        <f t="shared" si="27"/>
        <v>59.461015724571041</v>
      </c>
      <c r="Q46" s="140">
        <f t="shared" si="27"/>
        <v>49.594122285559244</v>
      </c>
      <c r="R46" s="138">
        <f t="shared" ref="R46:S47" si="28">R45</f>
        <v>21.421294804000734</v>
      </c>
      <c r="S46" s="140">
        <f t="shared" si="28"/>
        <v>18.648267795942825</v>
      </c>
      <c r="T46" s="135"/>
      <c r="U46" s="138">
        <f t="shared" si="3"/>
        <v>178.13184203887064</v>
      </c>
      <c r="V46" s="140"/>
      <c r="W46" s="138"/>
      <c r="X46" s="140"/>
      <c r="Y46" s="138"/>
      <c r="Z46" s="140"/>
      <c r="AA46" s="140"/>
      <c r="AB46" s="140"/>
      <c r="AC46" s="140"/>
      <c r="AD46" s="140"/>
      <c r="AE46" s="140"/>
      <c r="AF46" s="140"/>
      <c r="AG46" s="140"/>
      <c r="AH46" s="140"/>
      <c r="AI46" s="138">
        <f t="shared" si="26"/>
        <v>256.64520746431958</v>
      </c>
      <c r="AJ46" s="140"/>
      <c r="AK46" s="140"/>
      <c r="AL46" s="138">
        <f t="shared" si="6"/>
        <v>256.64520746431958</v>
      </c>
      <c r="AM46" s="139">
        <f t="shared" si="0"/>
        <v>-78.513365425448939</v>
      </c>
      <c r="AN46" s="139">
        <f t="shared" si="7"/>
        <v>480.71451342994794</v>
      </c>
    </row>
    <row r="47" spans="4:40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J47" s="141">
        <f t="shared" si="16"/>
        <v>480.71451342994794</v>
      </c>
      <c r="K47" s="134">
        <v>0.02</v>
      </c>
      <c r="L47" s="140"/>
      <c r="M47" s="140"/>
      <c r="N47" s="138">
        <f t="shared" si="22"/>
        <v>9.6142902685989586</v>
      </c>
      <c r="O47" s="138">
        <f t="shared" si="27"/>
        <v>18.357261367239548</v>
      </c>
      <c r="P47" s="140">
        <f t="shared" si="27"/>
        <v>61.244846196308174</v>
      </c>
      <c r="Q47" s="140">
        <f t="shared" si="27"/>
        <v>51.08194595412602</v>
      </c>
      <c r="R47" s="138">
        <f t="shared" si="28"/>
        <v>21.421294804000734</v>
      </c>
      <c r="S47" s="140">
        <f t="shared" si="28"/>
        <v>18.648267795942825</v>
      </c>
      <c r="T47" s="135"/>
      <c r="U47" s="138">
        <f t="shared" si="3"/>
        <v>180.36790638621625</v>
      </c>
      <c r="V47" s="140"/>
      <c r="W47" s="138"/>
      <c r="X47" s="140"/>
      <c r="Y47" s="138"/>
      <c r="Z47" s="140"/>
      <c r="AA47" s="140"/>
      <c r="AB47" s="140"/>
      <c r="AC47" s="140"/>
      <c r="AD47" s="140"/>
      <c r="AE47" s="140"/>
      <c r="AF47" s="140"/>
      <c r="AG47" s="140"/>
      <c r="AH47" s="140"/>
      <c r="AI47" s="138">
        <f t="shared" si="26"/>
        <v>264.3445636882492</v>
      </c>
      <c r="AJ47" s="140"/>
      <c r="AK47" s="140"/>
      <c r="AL47" s="138">
        <f t="shared" si="6"/>
        <v>264.3445636882492</v>
      </c>
      <c r="AM47" s="139">
        <f t="shared" si="0"/>
        <v>-83.976657302032947</v>
      </c>
      <c r="AN47" s="139">
        <f t="shared" si="7"/>
        <v>396.73785612791499</v>
      </c>
    </row>
    <row r="48" spans="4:40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J48" s="141">
        <f t="shared" si="16"/>
        <v>396.73785612791499</v>
      </c>
      <c r="K48" s="134">
        <v>0.02</v>
      </c>
      <c r="L48" s="140"/>
      <c r="M48" s="140"/>
      <c r="N48" s="138">
        <f t="shared" si="22"/>
        <v>7.9347571225582998</v>
      </c>
      <c r="O48" s="138">
        <f t="shared" si="27"/>
        <v>18.907979208256734</v>
      </c>
      <c r="P48" s="140">
        <f t="shared" si="27"/>
        <v>63.082191582197424</v>
      </c>
      <c r="Q48" s="140">
        <f t="shared" si="27"/>
        <v>52.6144043327498</v>
      </c>
      <c r="R48" s="138"/>
      <c r="S48" s="140"/>
      <c r="T48" s="135"/>
      <c r="U48" s="138">
        <f t="shared" si="3"/>
        <v>142.53933224576224</v>
      </c>
      <c r="V48" s="140"/>
      <c r="W48" s="138"/>
      <c r="X48" s="140"/>
      <c r="Y48" s="138"/>
      <c r="Z48" s="140"/>
      <c r="AA48" s="140"/>
      <c r="AB48" s="140"/>
      <c r="AC48" s="140"/>
      <c r="AD48" s="140"/>
      <c r="AE48" s="140"/>
      <c r="AF48" s="140"/>
      <c r="AG48" s="140"/>
      <c r="AH48" s="140"/>
      <c r="AI48" s="138">
        <f t="shared" si="26"/>
        <v>272.27490059889669</v>
      </c>
      <c r="AJ48" s="140"/>
      <c r="AK48" s="140"/>
      <c r="AL48" s="138">
        <f t="shared" si="6"/>
        <v>272.27490059889669</v>
      </c>
      <c r="AM48" s="139">
        <f t="shared" si="0"/>
        <v>-129.73556835313445</v>
      </c>
      <c r="AN48" s="139">
        <f t="shared" si="7"/>
        <v>267.00228777478054</v>
      </c>
    </row>
    <row r="49" spans="4:40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J49" s="141">
        <f t="shared" si="16"/>
        <v>267.00228777478054</v>
      </c>
      <c r="K49" s="134">
        <v>0.02</v>
      </c>
      <c r="L49" s="140"/>
      <c r="M49" s="140"/>
      <c r="N49" s="138">
        <f t="shared" si="22"/>
        <v>5.3400457554956109</v>
      </c>
      <c r="O49" s="138">
        <f t="shared" si="27"/>
        <v>19.475218584504436</v>
      </c>
      <c r="P49" s="140">
        <f t="shared" si="27"/>
        <v>64.974657329663344</v>
      </c>
      <c r="Q49" s="140">
        <f t="shared" si="27"/>
        <v>54.192836462732295</v>
      </c>
      <c r="R49" s="138"/>
      <c r="S49" s="140"/>
      <c r="T49" s="135"/>
      <c r="U49" s="138">
        <f t="shared" si="3"/>
        <v>143.98275813239567</v>
      </c>
      <c r="V49" s="140"/>
      <c r="W49" s="138"/>
      <c r="X49" s="140"/>
      <c r="Y49" s="138"/>
      <c r="Z49" s="140"/>
      <c r="AA49" s="140"/>
      <c r="AB49" s="140"/>
      <c r="AC49" s="140"/>
      <c r="AD49" s="140"/>
      <c r="AE49" s="140"/>
      <c r="AF49" s="140"/>
      <c r="AG49" s="140"/>
      <c r="AH49" s="140"/>
      <c r="AI49" s="138">
        <f t="shared" si="26"/>
        <v>280.4431476168636</v>
      </c>
      <c r="AJ49" s="140"/>
      <c r="AK49" s="140"/>
      <c r="AL49" s="138">
        <f t="shared" si="6"/>
        <v>280.4431476168636</v>
      </c>
      <c r="AM49" s="139">
        <f t="shared" si="0"/>
        <v>-136.46038948446792</v>
      </c>
      <c r="AN49" s="139">
        <f t="shared" si="7"/>
        <v>130.54189829031262</v>
      </c>
    </row>
    <row r="50" spans="4:40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J50" s="141">
        <f t="shared" si="16"/>
        <v>130.54189829031262</v>
      </c>
      <c r="K50" s="134">
        <v>0.02</v>
      </c>
      <c r="L50" s="140"/>
      <c r="M50" s="140"/>
      <c r="N50" s="138">
        <f t="shared" si="22"/>
        <v>2.6108379658062524</v>
      </c>
      <c r="O50" s="138">
        <f t="shared" si="27"/>
        <v>20.05947514203957</v>
      </c>
      <c r="P50" s="140">
        <f t="shared" si="27"/>
        <v>66.923897049553247</v>
      </c>
      <c r="Q50" s="140">
        <f t="shared" si="27"/>
        <v>55.818621556614268</v>
      </c>
      <c r="R50" s="138"/>
      <c r="S50" s="140"/>
      <c r="T50" s="135"/>
      <c r="U50" s="138">
        <f t="shared" si="3"/>
        <v>145.41283171401332</v>
      </c>
      <c r="V50" s="140"/>
      <c r="W50" s="138"/>
      <c r="X50" s="140"/>
      <c r="Y50" s="138"/>
      <c r="Z50" s="140"/>
      <c r="AA50" s="140"/>
      <c r="AB50" s="140"/>
      <c r="AC50" s="140"/>
      <c r="AD50" s="140"/>
      <c r="AE50" s="140"/>
      <c r="AF50" s="140"/>
      <c r="AG50" s="140"/>
      <c r="AH50" s="140"/>
      <c r="AI50" s="138">
        <f t="shared" si="26"/>
        <v>288.85644204536953</v>
      </c>
      <c r="AJ50" s="140"/>
      <c r="AK50" s="140"/>
      <c r="AL50" s="138">
        <f t="shared" si="6"/>
        <v>288.85644204536953</v>
      </c>
      <c r="AM50" s="139">
        <f t="shared" si="0"/>
        <v>-143.44361033135621</v>
      </c>
      <c r="AN50" s="139">
        <f t="shared" si="7"/>
        <v>-12.901712041043595</v>
      </c>
    </row>
    <row r="51" spans="4:40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J51" s="141">
        <f t="shared" si="16"/>
        <v>-12.901712041043595</v>
      </c>
      <c r="K51" s="134">
        <v>0.02</v>
      </c>
      <c r="L51" s="140"/>
      <c r="M51" s="140"/>
      <c r="N51" s="138">
        <f t="shared" si="22"/>
        <v>-0.2580342408208719</v>
      </c>
      <c r="O51" s="138">
        <f t="shared" si="27"/>
        <v>20.661259396300757</v>
      </c>
      <c r="P51" s="140">
        <f t="shared" si="27"/>
        <v>68.931613961039844</v>
      </c>
      <c r="Q51" s="140">
        <f t="shared" si="27"/>
        <v>57.493180203312697</v>
      </c>
      <c r="R51" s="138"/>
      <c r="S51" s="140"/>
      <c r="T51" s="135"/>
      <c r="U51" s="138">
        <f t="shared" si="3"/>
        <v>146.82801931983244</v>
      </c>
      <c r="V51" s="140"/>
      <c r="W51" s="138"/>
      <c r="X51" s="140"/>
      <c r="Y51" s="138"/>
      <c r="Z51" s="140"/>
      <c r="AA51" s="140"/>
      <c r="AB51" s="140"/>
      <c r="AC51" s="140"/>
      <c r="AD51" s="140"/>
      <c r="AE51" s="140"/>
      <c r="AF51" s="140"/>
      <c r="AG51" s="140"/>
      <c r="AH51" s="140"/>
      <c r="AI51" s="138">
        <f t="shared" si="26"/>
        <v>297.5221353067306</v>
      </c>
      <c r="AJ51" s="140"/>
      <c r="AK51" s="140"/>
      <c r="AL51" s="138">
        <f t="shared" si="6"/>
        <v>297.5221353067306</v>
      </c>
      <c r="AM51" s="139">
        <f t="shared" si="0"/>
        <v>-150.69411598689817</v>
      </c>
      <c r="AN51" s="139">
        <f t="shared" si="7"/>
        <v>-163.59582802794176</v>
      </c>
    </row>
    <row r="52" spans="4:40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J52" s="141">
        <f t="shared" si="16"/>
        <v>-163.59582802794176</v>
      </c>
      <c r="K52" s="134">
        <v>0.02</v>
      </c>
      <c r="L52" s="140"/>
      <c r="M52" s="140"/>
      <c r="N52" s="138">
        <f t="shared" si="22"/>
        <v>-3.2719165605588354</v>
      </c>
      <c r="O52" s="138">
        <f t="shared" si="27"/>
        <v>21.281097178189778</v>
      </c>
      <c r="P52" s="140">
        <f t="shared" si="27"/>
        <v>70.999562379871037</v>
      </c>
      <c r="Q52" s="140">
        <f t="shared" si="27"/>
        <v>59.217975609412079</v>
      </c>
      <c r="R52" s="138"/>
      <c r="S52" s="140"/>
      <c r="T52" s="135"/>
      <c r="U52" s="138">
        <f t="shared" si="3"/>
        <v>148.22671860691406</v>
      </c>
      <c r="V52" s="140"/>
      <c r="W52" s="138"/>
      <c r="X52" s="140"/>
      <c r="Y52" s="138"/>
      <c r="Z52" s="140"/>
      <c r="AA52" s="140"/>
      <c r="AB52" s="140"/>
      <c r="AC52" s="140"/>
      <c r="AD52" s="140"/>
      <c r="AE52" s="140"/>
      <c r="AF52" s="140"/>
      <c r="AG52" s="140"/>
      <c r="AH52" s="140"/>
      <c r="AI52" s="138">
        <f t="shared" si="26"/>
        <v>306.44779936593255</v>
      </c>
      <c r="AJ52" s="140"/>
      <c r="AK52" s="140"/>
      <c r="AL52" s="138">
        <f t="shared" si="6"/>
        <v>306.44779936593255</v>
      </c>
      <c r="AM52" s="139">
        <f t="shared" si="0"/>
        <v>-158.22108075901849</v>
      </c>
      <c r="AN52" s="139">
        <f t="shared" si="7"/>
        <v>-321.81690878696025</v>
      </c>
    </row>
    <row r="53" spans="4:40" x14ac:dyDescent="0.3">
      <c r="D53" s="94">
        <v>50</v>
      </c>
      <c r="E53" s="94">
        <v>90</v>
      </c>
      <c r="F53" s="94">
        <v>90</v>
      </c>
      <c r="G53" s="94">
        <v>63</v>
      </c>
      <c r="H53" s="94">
        <v>61</v>
      </c>
      <c r="J53" s="122">
        <f t="shared" si="16"/>
        <v>-321.81690878696025</v>
      </c>
      <c r="K53" s="119">
        <v>0.02</v>
      </c>
      <c r="L53" s="113"/>
      <c r="M53" s="113"/>
      <c r="N53" s="108">
        <f t="shared" si="22"/>
        <v>-6.4363381757392055</v>
      </c>
      <c r="O53" s="108">
        <f t="shared" ref="O53:Q53" si="29">O52*(1+$B$3)</f>
        <v>21.919530093535471</v>
      </c>
      <c r="P53" s="113">
        <f t="shared" si="29"/>
        <v>73.129549251267164</v>
      </c>
      <c r="Q53" s="113">
        <f t="shared" si="29"/>
        <v>60.994514877694442</v>
      </c>
      <c r="R53" s="113"/>
      <c r="S53" s="113"/>
      <c r="T53" s="120"/>
      <c r="U53" s="108">
        <f>SUM(L53:T53)</f>
        <v>149.60725604675787</v>
      </c>
      <c r="V53" s="113"/>
      <c r="W53" s="108"/>
      <c r="X53" s="113"/>
      <c r="Y53" s="108"/>
      <c r="Z53" s="113"/>
      <c r="AA53" s="113"/>
      <c r="AB53" s="113"/>
      <c r="AC53" s="113"/>
      <c r="AD53" s="113"/>
      <c r="AE53" s="113"/>
      <c r="AF53" s="113"/>
      <c r="AG53" s="113"/>
      <c r="AH53" s="113"/>
      <c r="AI53" s="108">
        <f t="shared" si="26"/>
        <v>315.64123334691055</v>
      </c>
      <c r="AJ53" s="113"/>
      <c r="AK53" s="113"/>
      <c r="AL53" s="108">
        <f t="shared" si="6"/>
        <v>315.64123334691055</v>
      </c>
      <c r="AM53" s="114">
        <f t="shared" si="0"/>
        <v>-166.03397730015269</v>
      </c>
      <c r="AN53" s="114">
        <f t="shared" si="7"/>
        <v>-487.85088608711294</v>
      </c>
    </row>
  </sheetData>
  <mergeCells count="25">
    <mergeCell ref="A1:B1"/>
    <mergeCell ref="AR1:AS1"/>
    <mergeCell ref="Q1:Q2"/>
    <mergeCell ref="R1:R2"/>
    <mergeCell ref="S1:S2"/>
    <mergeCell ref="T1:T2"/>
    <mergeCell ref="U1:U2"/>
    <mergeCell ref="V1:AJ1"/>
    <mergeCell ref="AK1:AK2"/>
    <mergeCell ref="AL1:AL2"/>
    <mergeCell ref="AM1:AM2"/>
    <mergeCell ref="AN1:AN2"/>
    <mergeCell ref="AP1:AQ1"/>
    <mergeCell ref="P1:P2"/>
    <mergeCell ref="D1:D2"/>
    <mergeCell ref="E1:E2"/>
    <mergeCell ref="K1:K2"/>
    <mergeCell ref="L1:M1"/>
    <mergeCell ref="N1:N2"/>
    <mergeCell ref="O1:O2"/>
    <mergeCell ref="F1:F2"/>
    <mergeCell ref="G1:G2"/>
    <mergeCell ref="H1:H2"/>
    <mergeCell ref="I1:I2"/>
    <mergeCell ref="J1:J2"/>
  </mergeCells>
  <phoneticPr fontId="1" type="noConversion"/>
  <conditionalFormatting sqref="AN3:AN10 AN16:AN1048576">
    <cfRule type="cellIs" dxfId="13" priority="2" operator="lessThan">
      <formula>0</formula>
    </cfRule>
  </conditionalFormatting>
  <conditionalFormatting sqref="AN1:AN2">
    <cfRule type="cellIs" dxfId="12" priority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B9C24-C1EC-403D-9765-B118B7378007}">
  <dimension ref="A1:AT53"/>
  <sheetViews>
    <sheetView workbookViewId="0">
      <selection sqref="A1:B1"/>
    </sheetView>
  </sheetViews>
  <sheetFormatPr defaultRowHeight="14.5" x14ac:dyDescent="0.3"/>
  <cols>
    <col min="1" max="1" width="23.59765625" bestFit="1" customWidth="1"/>
    <col min="2" max="2" width="7.19921875" customWidth="1"/>
    <col min="4" max="8" width="6.09765625" bestFit="1" customWidth="1"/>
    <col min="9" max="9" width="36.59765625" bestFit="1" customWidth="1"/>
    <col min="10" max="10" width="10.5" customWidth="1"/>
    <col min="11" max="21" width="8.19921875" customWidth="1"/>
    <col min="22" max="22" width="6" customWidth="1"/>
    <col min="23" max="23" width="10.5" customWidth="1"/>
    <col min="24" max="24" width="6" customWidth="1"/>
    <col min="25" max="25" width="10.5" customWidth="1"/>
    <col min="26" max="27" width="6" customWidth="1"/>
    <col min="28" max="34" width="6.09765625" bestFit="1" customWidth="1"/>
    <col min="35" max="35" width="10.59765625" bestFit="1" customWidth="1"/>
    <col min="36" max="36" width="9.296875" customWidth="1"/>
    <col min="37" max="37" width="8.19921875" customWidth="1"/>
    <col min="38" max="38" width="7.09765625" bestFit="1" customWidth="1"/>
    <col min="39" max="39" width="7" style="2" bestFit="1" customWidth="1"/>
    <col min="40" max="40" width="10.59765625" bestFit="1" customWidth="1"/>
    <col min="42" max="44" width="8.8984375" bestFit="1" customWidth="1"/>
    <col min="45" max="45" width="10.09765625" customWidth="1"/>
    <col min="46" max="46" width="18" customWidth="1"/>
  </cols>
  <sheetData>
    <row r="1" spans="1:46" ht="14.5" customHeight="1" x14ac:dyDescent="0.3">
      <c r="A1" s="196" t="s">
        <v>347</v>
      </c>
      <c r="B1" s="196"/>
      <c r="C1" s="40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K1" s="189" t="s">
        <v>297</v>
      </c>
      <c r="L1" s="196" t="s">
        <v>298</v>
      </c>
      <c r="M1" s="196"/>
      <c r="N1" s="187" t="s">
        <v>299</v>
      </c>
      <c r="O1" s="187" t="s">
        <v>300</v>
      </c>
      <c r="P1" s="187" t="s">
        <v>301</v>
      </c>
      <c r="Q1" s="187" t="s">
        <v>302</v>
      </c>
      <c r="R1" s="187" t="s">
        <v>303</v>
      </c>
      <c r="S1" s="187" t="s">
        <v>304</v>
      </c>
      <c r="T1" s="187" t="s">
        <v>305</v>
      </c>
      <c r="U1" s="189" t="s">
        <v>306</v>
      </c>
      <c r="V1" s="196" t="s">
        <v>307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204" t="s">
        <v>154</v>
      </c>
      <c r="AL1" s="189" t="s">
        <v>308</v>
      </c>
      <c r="AM1" s="189" t="s">
        <v>309</v>
      </c>
      <c r="AN1" s="189" t="s">
        <v>310</v>
      </c>
      <c r="AO1" s="40"/>
      <c r="AP1" s="203" t="s">
        <v>140</v>
      </c>
      <c r="AQ1" s="203"/>
      <c r="AR1" s="203" t="s">
        <v>141</v>
      </c>
      <c r="AS1" s="203"/>
      <c r="AT1" s="131" t="s">
        <v>153</v>
      </c>
    </row>
    <row r="2" spans="1:46" x14ac:dyDescent="0.3">
      <c r="A2" s="100" t="s">
        <v>205</v>
      </c>
      <c r="B2" s="101" t="s">
        <v>349</v>
      </c>
      <c r="C2" s="40"/>
      <c r="D2" s="192"/>
      <c r="E2" s="192"/>
      <c r="F2" s="192"/>
      <c r="G2" s="192"/>
      <c r="H2" s="192"/>
      <c r="I2" s="192"/>
      <c r="J2" s="190"/>
      <c r="K2" s="190"/>
      <c r="L2" s="91" t="s">
        <v>315</v>
      </c>
      <c r="M2" s="91" t="s">
        <v>316</v>
      </c>
      <c r="N2" s="188"/>
      <c r="O2" s="188"/>
      <c r="P2" s="188"/>
      <c r="Q2" s="188"/>
      <c r="R2" s="188"/>
      <c r="S2" s="188"/>
      <c r="T2" s="188"/>
      <c r="U2" s="190"/>
      <c r="V2" s="91" t="s">
        <v>317</v>
      </c>
      <c r="W2" s="91" t="s">
        <v>318</v>
      </c>
      <c r="X2" s="91" t="s">
        <v>319</v>
      </c>
      <c r="Y2" s="91" t="s">
        <v>320</v>
      </c>
      <c r="Z2" s="91" t="s">
        <v>321</v>
      </c>
      <c r="AA2" s="91" t="s">
        <v>322</v>
      </c>
      <c r="AB2" s="91" t="s">
        <v>323</v>
      </c>
      <c r="AC2" s="91" t="s">
        <v>324</v>
      </c>
      <c r="AD2" s="91" t="s">
        <v>325</v>
      </c>
      <c r="AE2" s="91" t="s">
        <v>326</v>
      </c>
      <c r="AF2" s="91" t="s">
        <v>327</v>
      </c>
      <c r="AG2" s="91" t="s">
        <v>328</v>
      </c>
      <c r="AH2" s="91" t="s">
        <v>329</v>
      </c>
      <c r="AI2" s="91" t="s">
        <v>330</v>
      </c>
      <c r="AJ2" s="91" t="s">
        <v>331</v>
      </c>
      <c r="AK2" s="205"/>
      <c r="AL2" s="190"/>
      <c r="AM2" s="190"/>
      <c r="AN2" s="190"/>
      <c r="AO2" s="40"/>
      <c r="AP2" s="87" t="s">
        <v>138</v>
      </c>
      <c r="AQ2" s="87" t="s">
        <v>139</v>
      </c>
      <c r="AR2" s="87" t="s">
        <v>138</v>
      </c>
      <c r="AS2" s="87" t="s">
        <v>139</v>
      </c>
      <c r="AT2" s="87" t="s">
        <v>138</v>
      </c>
    </row>
    <row r="3" spans="1:46" x14ac:dyDescent="0.3">
      <c r="A3" s="88" t="s">
        <v>332</v>
      </c>
      <c r="B3" s="102">
        <v>0.02</v>
      </c>
      <c r="C3" s="40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40"/>
      <c r="J3" s="107"/>
      <c r="K3" s="107"/>
      <c r="L3" s="107">
        <v>54</v>
      </c>
      <c r="M3" s="107">
        <v>84</v>
      </c>
      <c r="N3" s="107">
        <v>2</v>
      </c>
      <c r="O3" s="107">
        <v>5</v>
      </c>
      <c r="P3" s="107"/>
      <c r="Q3" s="107"/>
      <c r="R3" s="107"/>
      <c r="S3" s="107"/>
      <c r="T3" s="107"/>
      <c r="U3" s="107">
        <f>SUM(L3:T3)</f>
        <v>145</v>
      </c>
      <c r="V3" s="107">
        <v>38.4</v>
      </c>
      <c r="W3" s="107">
        <v>5</v>
      </c>
      <c r="X3" s="107">
        <v>12</v>
      </c>
      <c r="Y3" s="107">
        <v>3</v>
      </c>
      <c r="Z3" s="107">
        <v>22.8</v>
      </c>
      <c r="AA3" s="107">
        <v>4.08</v>
      </c>
      <c r="AB3" s="107">
        <v>4.5</v>
      </c>
      <c r="AC3" s="107">
        <v>13.6</v>
      </c>
      <c r="AD3" s="107">
        <v>4.88</v>
      </c>
      <c r="AE3" s="107">
        <v>3.8</v>
      </c>
      <c r="AF3" s="107">
        <v>13</v>
      </c>
      <c r="AG3" s="107">
        <v>12</v>
      </c>
      <c r="AH3" s="107">
        <v>6.2</v>
      </c>
      <c r="AI3" s="107"/>
      <c r="AJ3" s="176"/>
      <c r="AK3" s="176"/>
      <c r="AL3" s="107">
        <f>SUM(V3:AK3)</f>
        <v>143.26</v>
      </c>
      <c r="AM3" s="110">
        <f t="shared" ref="AM3:AM53" si="0">U3-AL3</f>
        <v>1.7400000000000091</v>
      </c>
      <c r="AN3" s="110">
        <v>55</v>
      </c>
      <c r="AO3" s="40"/>
      <c r="AP3" s="112"/>
      <c r="AQ3" s="112"/>
      <c r="AR3" s="112">
        <v>90</v>
      </c>
      <c r="AS3" s="112">
        <v>90</v>
      </c>
      <c r="AT3" s="112">
        <v>50</v>
      </c>
    </row>
    <row r="4" spans="1:46" x14ac:dyDescent="0.3">
      <c r="A4" s="88" t="s">
        <v>333</v>
      </c>
      <c r="B4" s="102">
        <v>0.02</v>
      </c>
      <c r="C4" s="40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40"/>
      <c r="J4" s="107">
        <f>AN3</f>
        <v>55</v>
      </c>
      <c r="K4" s="107">
        <v>0.04</v>
      </c>
      <c r="L4" s="107">
        <f t="shared" ref="L4:L27" si="1">L3*(1+$B$4)</f>
        <v>55.08</v>
      </c>
      <c r="M4" s="107">
        <f t="shared" ref="M4:M27" si="2">M3*(1+$B$5)</f>
        <v>84.84</v>
      </c>
      <c r="N4" s="107">
        <f>J4*K4</f>
        <v>2.2000000000000002</v>
      </c>
      <c r="O4" s="107">
        <f>O3*(1+$B$3)</f>
        <v>5.0999999999999996</v>
      </c>
      <c r="P4" s="107"/>
      <c r="Q4" s="107"/>
      <c r="R4" s="107"/>
      <c r="S4" s="107"/>
      <c r="T4" s="107"/>
      <c r="U4" s="107">
        <f t="shared" ref="U4:U52" si="3">SUM(L4:T4)</f>
        <v>147.22</v>
      </c>
      <c r="V4" s="107">
        <v>38.4</v>
      </c>
      <c r="W4" s="107">
        <f>W3*(1+$B$3)</f>
        <v>5.0999999999999996</v>
      </c>
      <c r="X4" s="107">
        <v>12</v>
      </c>
      <c r="Y4" s="107">
        <f>Y3*(1+$B$3)</f>
        <v>3.06</v>
      </c>
      <c r="Z4" s="107">
        <f t="shared" ref="Y4:Z8" si="4">Z3*(1+$B$3)</f>
        <v>23.256</v>
      </c>
      <c r="AA4" s="107">
        <v>4.08</v>
      </c>
      <c r="AB4" s="107">
        <v>4.7</v>
      </c>
      <c r="AC4" s="107">
        <v>13.6</v>
      </c>
      <c r="AD4" s="107">
        <f>AD3*(1+$B$3)</f>
        <v>4.9775999999999998</v>
      </c>
      <c r="AE4" s="107">
        <f t="shared" ref="AD4:AF8" si="5">AE3*(1+$B$3)</f>
        <v>3.8759999999999999</v>
      </c>
      <c r="AF4" s="107">
        <f>AF3*(1+$B$3)</f>
        <v>13.26</v>
      </c>
      <c r="AG4" s="107">
        <v>12</v>
      </c>
      <c r="AH4" s="107">
        <f>AH3*(1+$B$3)</f>
        <v>6.3240000000000007</v>
      </c>
      <c r="AI4" s="107"/>
      <c r="AJ4" s="176"/>
      <c r="AK4" s="176">
        <v>-5</v>
      </c>
      <c r="AL4" s="107">
        <f t="shared" ref="AL4:AL53" si="6">SUM(V4:AK4)</f>
        <v>139.6336</v>
      </c>
      <c r="AM4" s="110">
        <f t="shared" si="0"/>
        <v>7.5863999999999976</v>
      </c>
      <c r="AN4" s="110">
        <f t="shared" ref="AN4:AN53" si="7">J4+AM4</f>
        <v>62.586399999999998</v>
      </c>
      <c r="AO4" s="40"/>
      <c r="AP4" s="112">
        <f t="shared" ref="AP4:AP27" si="8">L4*0.06</f>
        <v>3.3047999999999997</v>
      </c>
      <c r="AQ4" s="112">
        <f>3.82*12*0.06</f>
        <v>2.7503999999999995</v>
      </c>
      <c r="AR4" s="112">
        <f t="shared" ref="AR4:AR27" si="9">AR3*(1+$B$6)+AP4</f>
        <v>95.104799999999997</v>
      </c>
      <c r="AS4" s="112">
        <f t="shared" ref="AS4:AS27" si="10">AS3*(1+$B$6)+AQ4</f>
        <v>94.550399999999996</v>
      </c>
      <c r="AT4" s="112">
        <f t="shared" ref="AT4:AT13" si="11">AT3*(1+$B$7) + 6</f>
        <v>58</v>
      </c>
    </row>
    <row r="5" spans="1:46" x14ac:dyDescent="0.3">
      <c r="A5" s="88" t="s">
        <v>334</v>
      </c>
      <c r="B5" s="102">
        <v>0.01</v>
      </c>
      <c r="C5" s="40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40"/>
      <c r="J5" s="107">
        <f>AN4</f>
        <v>62.586399999999998</v>
      </c>
      <c r="K5" s="107">
        <v>0.04</v>
      </c>
      <c r="L5" s="107">
        <f t="shared" si="1"/>
        <v>56.181599999999996</v>
      </c>
      <c r="M5" s="107">
        <f t="shared" si="2"/>
        <v>85.688400000000001</v>
      </c>
      <c r="N5" s="107">
        <f>J5*K5</f>
        <v>2.5034559999999999</v>
      </c>
      <c r="O5" s="107">
        <f t="shared" ref="O5:Q30" si="12">O4*(1+$B$3)</f>
        <v>5.202</v>
      </c>
      <c r="P5" s="107"/>
      <c r="Q5" s="107"/>
      <c r="R5" s="107"/>
      <c r="S5" s="107"/>
      <c r="T5" s="107"/>
      <c r="U5" s="107">
        <f t="shared" si="3"/>
        <v>149.575456</v>
      </c>
      <c r="V5" s="107">
        <v>38.4</v>
      </c>
      <c r="W5" s="107">
        <f>W4*(1+$B$3)</f>
        <v>5.202</v>
      </c>
      <c r="X5" s="107">
        <v>12</v>
      </c>
      <c r="Y5" s="107">
        <f t="shared" si="4"/>
        <v>3.1212</v>
      </c>
      <c r="Z5" s="107">
        <f t="shared" si="4"/>
        <v>23.721119999999999</v>
      </c>
      <c r="AA5" s="107">
        <v>4.08</v>
      </c>
      <c r="AB5" s="107">
        <v>4.9000000000000004</v>
      </c>
      <c r="AC5" s="107">
        <v>13.6</v>
      </c>
      <c r="AD5" s="107">
        <f t="shared" si="5"/>
        <v>5.0771519999999999</v>
      </c>
      <c r="AE5" s="107">
        <f t="shared" si="5"/>
        <v>3.9535200000000001</v>
      </c>
      <c r="AF5" s="107">
        <f t="shared" si="5"/>
        <v>13.5252</v>
      </c>
      <c r="AG5" s="107">
        <v>12</v>
      </c>
      <c r="AH5" s="107">
        <f t="shared" ref="AH5:AH23" si="13">AH4*(1+$B$3)</f>
        <v>6.4504800000000007</v>
      </c>
      <c r="AI5" s="107"/>
      <c r="AJ5" s="176"/>
      <c r="AK5" s="176">
        <v>-5</v>
      </c>
      <c r="AL5" s="107">
        <f t="shared" si="6"/>
        <v>141.03067200000001</v>
      </c>
      <c r="AM5" s="110">
        <f t="shared" si="0"/>
        <v>8.5447839999999928</v>
      </c>
      <c r="AN5" s="110">
        <f t="shared" si="7"/>
        <v>71.13118399999999</v>
      </c>
      <c r="AO5" s="40"/>
      <c r="AP5" s="112">
        <f t="shared" si="8"/>
        <v>3.3708959999999997</v>
      </c>
      <c r="AQ5" s="112">
        <f t="shared" ref="AQ5:AQ27" si="14">3.82*12*0.06</f>
        <v>2.7503999999999995</v>
      </c>
      <c r="AR5" s="112">
        <f t="shared" si="9"/>
        <v>100.377792</v>
      </c>
      <c r="AS5" s="112">
        <f t="shared" si="10"/>
        <v>99.191807999999995</v>
      </c>
      <c r="AT5" s="112">
        <f t="shared" si="11"/>
        <v>66.319999999999993</v>
      </c>
    </row>
    <row r="6" spans="1:46" x14ac:dyDescent="0.3">
      <c r="A6" s="88" t="s">
        <v>335</v>
      </c>
      <c r="B6" s="132">
        <v>0.02</v>
      </c>
      <c r="C6" s="40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40"/>
      <c r="J6" s="107">
        <f>AN5</f>
        <v>71.13118399999999</v>
      </c>
      <c r="K6" s="107">
        <v>0.04</v>
      </c>
      <c r="L6" s="107">
        <f t="shared" si="1"/>
        <v>57.305231999999997</v>
      </c>
      <c r="M6" s="107">
        <f t="shared" si="2"/>
        <v>86.545283999999995</v>
      </c>
      <c r="N6" s="107">
        <f>J6*K6</f>
        <v>2.8452473599999997</v>
      </c>
      <c r="O6" s="107">
        <f t="shared" si="12"/>
        <v>5.3060400000000003</v>
      </c>
      <c r="P6" s="107"/>
      <c r="Q6" s="107"/>
      <c r="R6" s="107"/>
      <c r="S6" s="107"/>
      <c r="T6" s="107"/>
      <c r="U6" s="107">
        <f t="shared" si="3"/>
        <v>152.00180336</v>
      </c>
      <c r="V6" s="107">
        <v>38.4</v>
      </c>
      <c r="W6" s="107">
        <f>W5*(1+$B$3)</f>
        <v>5.3060400000000003</v>
      </c>
      <c r="X6" s="107">
        <v>12</v>
      </c>
      <c r="Y6" s="107">
        <f t="shared" si="4"/>
        <v>3.183624</v>
      </c>
      <c r="Z6" s="107">
        <f t="shared" si="4"/>
        <v>24.195542400000001</v>
      </c>
      <c r="AA6" s="107">
        <v>4.08</v>
      </c>
      <c r="AB6" s="107">
        <v>5.3</v>
      </c>
      <c r="AC6" s="107">
        <v>13.6</v>
      </c>
      <c r="AD6" s="107">
        <f t="shared" si="5"/>
        <v>5.17869504</v>
      </c>
      <c r="AE6" s="107">
        <f t="shared" si="5"/>
        <v>4.0325904000000001</v>
      </c>
      <c r="AF6" s="107">
        <f t="shared" si="5"/>
        <v>13.795704000000001</v>
      </c>
      <c r="AG6" s="107">
        <v>12</v>
      </c>
      <c r="AH6" s="107">
        <f t="shared" si="13"/>
        <v>6.5794896000000005</v>
      </c>
      <c r="AI6" s="107"/>
      <c r="AJ6" s="176"/>
      <c r="AK6" s="176">
        <v>-5</v>
      </c>
      <c r="AL6" s="107">
        <f t="shared" si="6"/>
        <v>142.65168543999999</v>
      </c>
      <c r="AM6" s="110">
        <f t="shared" si="0"/>
        <v>9.3501179200000024</v>
      </c>
      <c r="AN6" s="110">
        <f t="shared" si="7"/>
        <v>80.481301919999993</v>
      </c>
      <c r="AO6" s="40"/>
      <c r="AP6" s="112">
        <f t="shared" si="8"/>
        <v>3.4383139199999997</v>
      </c>
      <c r="AQ6" s="112">
        <f t="shared" si="14"/>
        <v>2.7503999999999995</v>
      </c>
      <c r="AR6" s="112">
        <f t="shared" si="9"/>
        <v>105.82366175999999</v>
      </c>
      <c r="AS6" s="112">
        <f t="shared" si="10"/>
        <v>103.92604415999999</v>
      </c>
      <c r="AT6" s="112">
        <f t="shared" si="11"/>
        <v>74.972799999999992</v>
      </c>
    </row>
    <row r="7" spans="1:46" x14ac:dyDescent="0.3">
      <c r="A7" s="95" t="s">
        <v>336</v>
      </c>
      <c r="B7" s="103">
        <v>0.04</v>
      </c>
      <c r="C7" s="40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40" t="s">
        <v>136</v>
      </c>
      <c r="J7" s="107">
        <f>AN6</f>
        <v>80.481301919999993</v>
      </c>
      <c r="K7" s="107">
        <v>0.04</v>
      </c>
      <c r="L7" s="107">
        <f t="shared" si="1"/>
        <v>58.451336640000001</v>
      </c>
      <c r="M7" s="107">
        <f t="shared" si="2"/>
        <v>87.410736839999998</v>
      </c>
      <c r="N7" s="107">
        <f>J7*K7</f>
        <v>3.2192520767999997</v>
      </c>
      <c r="O7" s="107">
        <f t="shared" si="12"/>
        <v>5.4121608000000005</v>
      </c>
      <c r="P7" s="107"/>
      <c r="Q7" s="107"/>
      <c r="R7" s="107"/>
      <c r="S7" s="107"/>
      <c r="T7" s="107"/>
      <c r="U7" s="107">
        <f t="shared" si="3"/>
        <v>154.49348635679999</v>
      </c>
      <c r="V7" s="107">
        <v>38.4</v>
      </c>
      <c r="W7" s="107">
        <f>W6*(1+$B$3)</f>
        <v>5.4121608000000005</v>
      </c>
      <c r="X7" s="107">
        <v>12</v>
      </c>
      <c r="Y7" s="107">
        <f t="shared" si="4"/>
        <v>3.2472964800000002</v>
      </c>
      <c r="Z7" s="107">
        <f t="shared" si="4"/>
        <v>24.679453248000002</v>
      </c>
      <c r="AA7" s="107">
        <v>4.08</v>
      </c>
      <c r="AB7" s="107">
        <v>5.5</v>
      </c>
      <c r="AC7" s="107">
        <v>13.6</v>
      </c>
      <c r="AD7" s="107">
        <f t="shared" si="5"/>
        <v>5.2822689407999999</v>
      </c>
      <c r="AE7" s="107">
        <f t="shared" si="5"/>
        <v>4.113242208</v>
      </c>
      <c r="AF7" s="107">
        <f t="shared" si="5"/>
        <v>14.07161808</v>
      </c>
      <c r="AG7" s="107">
        <v>12</v>
      </c>
      <c r="AH7" s="107">
        <f t="shared" si="13"/>
        <v>6.7110793920000003</v>
      </c>
      <c r="AI7" s="107"/>
      <c r="AJ7" s="117">
        <f>理財目標費用終值!D16</f>
        <v>21.648643199999999</v>
      </c>
      <c r="AK7" s="176">
        <v>-5</v>
      </c>
      <c r="AL7" s="107">
        <f t="shared" si="6"/>
        <v>165.74576234879999</v>
      </c>
      <c r="AM7" s="110">
        <f t="shared" si="0"/>
        <v>-11.252275991999994</v>
      </c>
      <c r="AN7" s="110">
        <f t="shared" si="7"/>
        <v>69.229025927999999</v>
      </c>
      <c r="AO7" s="40"/>
      <c r="AP7" s="112">
        <f t="shared" si="8"/>
        <v>3.5070801983999997</v>
      </c>
      <c r="AQ7" s="112">
        <f t="shared" si="14"/>
        <v>2.7503999999999995</v>
      </c>
      <c r="AR7" s="112">
        <f t="shared" si="9"/>
        <v>111.4472151936</v>
      </c>
      <c r="AS7" s="112">
        <f t="shared" si="10"/>
        <v>108.75496504319999</v>
      </c>
      <c r="AT7" s="112">
        <f t="shared" si="11"/>
        <v>83.971711999999997</v>
      </c>
    </row>
    <row r="8" spans="1:46" x14ac:dyDescent="0.3">
      <c r="C8" s="40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40" t="s">
        <v>144</v>
      </c>
      <c r="J8" s="107">
        <f>AN7</f>
        <v>69.229025927999999</v>
      </c>
      <c r="K8" s="107">
        <v>0.04</v>
      </c>
      <c r="L8" s="107">
        <f t="shared" si="1"/>
        <v>59.6203633728</v>
      </c>
      <c r="M8" s="107">
        <f t="shared" si="2"/>
        <v>88.284844208400003</v>
      </c>
      <c r="N8" s="107">
        <f>J8*K8</f>
        <v>2.7691610371199999</v>
      </c>
      <c r="O8" s="107">
        <f t="shared" si="12"/>
        <v>5.5204040160000005</v>
      </c>
      <c r="P8" s="107"/>
      <c r="Q8" s="107"/>
      <c r="R8" s="107"/>
      <c r="S8" s="107"/>
      <c r="T8" s="107"/>
      <c r="U8" s="107">
        <f t="shared" si="3"/>
        <v>156.19477263431997</v>
      </c>
      <c r="V8" s="107">
        <v>38.4</v>
      </c>
      <c r="W8" s="107">
        <f>W7*(1+$B$3)</f>
        <v>5.5204040160000005</v>
      </c>
      <c r="X8" s="107"/>
      <c r="Y8" s="107">
        <f t="shared" si="4"/>
        <v>3.3122424096</v>
      </c>
      <c r="Z8" s="107">
        <f>Z7*(1+$B$3)*(3/4)</f>
        <v>18.879781734720002</v>
      </c>
      <c r="AA8" s="107">
        <v>4.08</v>
      </c>
      <c r="AB8" s="107">
        <v>5.3</v>
      </c>
      <c r="AC8" s="107">
        <v>13.6</v>
      </c>
      <c r="AD8" s="107">
        <f t="shared" si="5"/>
        <v>5.3879143196159998</v>
      </c>
      <c r="AE8" s="107">
        <f t="shared" si="5"/>
        <v>4.19550705216</v>
      </c>
      <c r="AF8" s="107">
        <f>AF7*(1+$B$3)*0.5</f>
        <v>7.1765252208000003</v>
      </c>
      <c r="AG8" s="107">
        <v>12</v>
      </c>
      <c r="AH8" s="107">
        <f t="shared" si="13"/>
        <v>6.8453009798400002</v>
      </c>
      <c r="AI8" s="107"/>
      <c r="AJ8" s="117">
        <f>理財目標費用終值!D3</f>
        <v>27.602020079999999</v>
      </c>
      <c r="AK8" s="176">
        <v>-5</v>
      </c>
      <c r="AL8" s="107">
        <f t="shared" si="6"/>
        <v>147.29969581273599</v>
      </c>
      <c r="AM8" s="110">
        <f t="shared" si="0"/>
        <v>8.8950768215839844</v>
      </c>
      <c r="AN8" s="110">
        <f t="shared" si="7"/>
        <v>78.124102749583983</v>
      </c>
      <c r="AO8" s="40"/>
      <c r="AP8" s="112">
        <f t="shared" si="8"/>
        <v>3.5772218023679998</v>
      </c>
      <c r="AQ8" s="112">
        <f t="shared" si="14"/>
        <v>2.7503999999999995</v>
      </c>
      <c r="AR8" s="112">
        <f t="shared" si="9"/>
        <v>117.25338129984</v>
      </c>
      <c r="AS8" s="112">
        <f t="shared" si="10"/>
        <v>113.68046434406399</v>
      </c>
      <c r="AT8" s="112">
        <f t="shared" si="11"/>
        <v>93.330580479999995</v>
      </c>
    </row>
    <row r="9" spans="1:46" x14ac:dyDescent="0.3">
      <c r="A9" s="40"/>
      <c r="B9" s="54"/>
      <c r="C9" s="40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40" t="s">
        <v>145</v>
      </c>
      <c r="J9" s="107">
        <f t="shared" ref="J9:J53" si="15">AN8</f>
        <v>78.124102749583983</v>
      </c>
      <c r="K9" s="107">
        <v>0.04</v>
      </c>
      <c r="L9" s="107">
        <f t="shared" si="1"/>
        <v>60.812770640255998</v>
      </c>
      <c r="M9" s="107">
        <f t="shared" si="2"/>
        <v>89.167692650484</v>
      </c>
      <c r="N9" s="107">
        <v>3</v>
      </c>
      <c r="O9" s="107">
        <f t="shared" si="12"/>
        <v>5.6308120963200006</v>
      </c>
      <c r="P9" s="107"/>
      <c r="Q9" s="107"/>
      <c r="R9" s="107"/>
      <c r="S9" s="107"/>
      <c r="T9" s="107"/>
      <c r="U9" s="107">
        <f t="shared" si="3"/>
        <v>158.61127538706</v>
      </c>
      <c r="V9" s="107">
        <v>38.4</v>
      </c>
      <c r="W9" s="107">
        <v>6</v>
      </c>
      <c r="X9" s="107"/>
      <c r="Y9" s="107">
        <v>4</v>
      </c>
      <c r="Z9" s="107">
        <f>Z8*(1+$B$3)</f>
        <v>19.257377369414403</v>
      </c>
      <c r="AA9" s="107">
        <v>4.08</v>
      </c>
      <c r="AB9" s="107">
        <v>5.6</v>
      </c>
      <c r="AC9" s="107">
        <v>13.6</v>
      </c>
      <c r="AD9" s="107">
        <v>5.88</v>
      </c>
      <c r="AE9" s="107">
        <f>AE8*(1+$B$3)</f>
        <v>4.2794171932031997</v>
      </c>
      <c r="AF9" s="107">
        <f>AF8*(1+$B$3)</f>
        <v>7.3200557252160001</v>
      </c>
      <c r="AG9" s="107">
        <v>12</v>
      </c>
      <c r="AH9" s="107">
        <f t="shared" si="13"/>
        <v>6.9822069994368006</v>
      </c>
      <c r="AI9" s="107"/>
      <c r="AJ9" s="117">
        <f>理財目標費用終值!D4</f>
        <v>28.154060481600002</v>
      </c>
      <c r="AK9" s="176">
        <v>-5</v>
      </c>
      <c r="AL9" s="107">
        <f t="shared" si="6"/>
        <v>150.55311776887038</v>
      </c>
      <c r="AM9" s="110">
        <f t="shared" si="0"/>
        <v>8.0581576181896253</v>
      </c>
      <c r="AN9" s="110">
        <f t="shared" si="7"/>
        <v>86.182260367773608</v>
      </c>
      <c r="AO9" s="40"/>
      <c r="AP9" s="112">
        <f t="shared" si="8"/>
        <v>3.6487662384153596</v>
      </c>
      <c r="AQ9" s="112">
        <f t="shared" si="14"/>
        <v>2.7503999999999995</v>
      </c>
      <c r="AR9" s="112">
        <f t="shared" si="9"/>
        <v>123.24721516425217</v>
      </c>
      <c r="AS9" s="112">
        <f t="shared" si="10"/>
        <v>118.70447363094527</v>
      </c>
      <c r="AT9" s="112">
        <f t="shared" si="11"/>
        <v>103.06380369919999</v>
      </c>
    </row>
    <row r="10" spans="1:46" x14ac:dyDescent="0.3">
      <c r="A10" s="40"/>
      <c r="B10" s="54"/>
      <c r="C10" s="40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40" t="s">
        <v>146</v>
      </c>
      <c r="J10" s="107">
        <f t="shared" si="15"/>
        <v>86.182260367773608</v>
      </c>
      <c r="K10" s="107">
        <v>0.04</v>
      </c>
      <c r="L10" s="107">
        <f t="shared" si="1"/>
        <v>62.029026053061116</v>
      </c>
      <c r="M10" s="107">
        <f t="shared" si="2"/>
        <v>90.059369576988843</v>
      </c>
      <c r="N10" s="107">
        <f>J10*K10</f>
        <v>3.4472904147109444</v>
      </c>
      <c r="O10" s="107">
        <f t="shared" si="12"/>
        <v>5.7434283382464004</v>
      </c>
      <c r="P10" s="107"/>
      <c r="Q10" s="107"/>
      <c r="R10" s="107"/>
      <c r="S10" s="107"/>
      <c r="T10" s="107"/>
      <c r="U10" s="107">
        <f t="shared" si="3"/>
        <v>161.27911438300728</v>
      </c>
      <c r="V10" s="107">
        <v>38.4</v>
      </c>
      <c r="W10" s="107">
        <f t="shared" ref="W10:W26" si="16">W9*(1+$B$3)</f>
        <v>6.12</v>
      </c>
      <c r="X10" s="107"/>
      <c r="Y10" s="107">
        <f>Y9*(1+$B$3)</f>
        <v>4.08</v>
      </c>
      <c r="Z10" s="107">
        <f>Z9*(1+$B$3)*(2/3)</f>
        <v>13.095016611201794</v>
      </c>
      <c r="AA10" s="107">
        <v>4.08</v>
      </c>
      <c r="AB10" s="107">
        <v>5.0999999999999996</v>
      </c>
      <c r="AC10" s="107">
        <v>13.6</v>
      </c>
      <c r="AD10" s="107">
        <f t="shared" ref="AD10:AE25" si="17">AD9*(1+$B$3)</f>
        <v>5.9976000000000003</v>
      </c>
      <c r="AE10" s="107">
        <f t="shared" si="17"/>
        <v>4.3650055370672636</v>
      </c>
      <c r="AF10" s="107"/>
      <c r="AG10" s="107">
        <v>12</v>
      </c>
      <c r="AH10" s="107">
        <f t="shared" si="13"/>
        <v>7.1218511394255364</v>
      </c>
      <c r="AI10" s="107"/>
      <c r="AJ10" s="117">
        <f>理財目標費用終值!D5+理財目標費用終值!D8</f>
        <v>57.434283382463988</v>
      </c>
      <c r="AK10" s="176">
        <v>-5</v>
      </c>
      <c r="AL10" s="107">
        <f t="shared" si="6"/>
        <v>166.39375667015855</v>
      </c>
      <c r="AM10" s="110">
        <f t="shared" si="0"/>
        <v>-5.1146422871512698</v>
      </c>
      <c r="AN10" s="110">
        <f t="shared" si="7"/>
        <v>81.067618080622339</v>
      </c>
      <c r="AO10" s="40"/>
      <c r="AP10" s="112">
        <f t="shared" si="8"/>
        <v>3.721741563183667</v>
      </c>
      <c r="AQ10" s="112">
        <f t="shared" si="14"/>
        <v>2.7503999999999995</v>
      </c>
      <c r="AR10" s="112">
        <f t="shared" si="9"/>
        <v>129.43390103072088</v>
      </c>
      <c r="AS10" s="112">
        <f t="shared" si="10"/>
        <v>123.82896310356418</v>
      </c>
      <c r="AT10" s="112">
        <f t="shared" si="11"/>
        <v>113.186355847168</v>
      </c>
    </row>
    <row r="11" spans="1:46" x14ac:dyDescent="0.3">
      <c r="A11" s="40"/>
      <c r="B11" s="54"/>
      <c r="C11" s="40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40" t="s">
        <v>147</v>
      </c>
      <c r="J11" s="107">
        <f t="shared" si="15"/>
        <v>81.067618080622339</v>
      </c>
      <c r="K11" s="107">
        <v>0.04</v>
      </c>
      <c r="L11" s="107">
        <f t="shared" si="1"/>
        <v>63.269606574122342</v>
      </c>
      <c r="M11" s="107">
        <f t="shared" si="2"/>
        <v>90.959963272758728</v>
      </c>
      <c r="N11" s="107">
        <f>J11*K11</f>
        <v>3.2427047232248936</v>
      </c>
      <c r="O11" s="107">
        <f t="shared" si="12"/>
        <v>5.8582969050113283</v>
      </c>
      <c r="P11" s="107"/>
      <c r="Q11" s="107"/>
      <c r="R11" s="107"/>
      <c r="S11" s="107"/>
      <c r="T11" s="107"/>
      <c r="U11" s="107">
        <f t="shared" si="3"/>
        <v>163.3305714751173</v>
      </c>
      <c r="V11" s="107">
        <v>38.4</v>
      </c>
      <c r="W11" s="107">
        <f t="shared" si="16"/>
        <v>6.2423999999999999</v>
      </c>
      <c r="X11" s="107"/>
      <c r="Y11" s="107">
        <f>Y10*(1+$B$3)</f>
        <v>4.1616</v>
      </c>
      <c r="Z11" s="107">
        <f>Z10*(1+$B$3)</f>
        <v>13.35691694342583</v>
      </c>
      <c r="AA11" s="107">
        <v>4.08</v>
      </c>
      <c r="AB11" s="107">
        <v>5.8</v>
      </c>
      <c r="AC11" s="107">
        <v>13.6</v>
      </c>
      <c r="AD11" s="107">
        <f t="shared" si="17"/>
        <v>6.1175520000000008</v>
      </c>
      <c r="AE11" s="107">
        <f t="shared" si="17"/>
        <v>4.4523056478086085</v>
      </c>
      <c r="AF11" s="107"/>
      <c r="AG11" s="107">
        <v>12</v>
      </c>
      <c r="AH11" s="107">
        <f t="shared" si="13"/>
        <v>7.2642881622140472</v>
      </c>
      <c r="AI11" s="107"/>
      <c r="AJ11" s="117">
        <f>理財目標費用終值!D6+理財目標費用終值!D9+理財目標費用終值!D17</f>
        <v>82.01615667015858</v>
      </c>
      <c r="AK11" s="176">
        <v>-5</v>
      </c>
      <c r="AL11" s="107">
        <f t="shared" si="6"/>
        <v>192.49121942360705</v>
      </c>
      <c r="AM11" s="110">
        <f t="shared" si="0"/>
        <v>-29.160647948489753</v>
      </c>
      <c r="AN11" s="110">
        <f t="shared" si="7"/>
        <v>51.906970132132585</v>
      </c>
      <c r="AO11" s="40"/>
      <c r="AP11" s="112">
        <f t="shared" si="8"/>
        <v>3.7961763944473406</v>
      </c>
      <c r="AQ11" s="112">
        <f t="shared" si="14"/>
        <v>2.7503999999999995</v>
      </c>
      <c r="AR11" s="112">
        <f t="shared" si="9"/>
        <v>135.81875544578264</v>
      </c>
      <c r="AS11" s="112">
        <f t="shared" si="10"/>
        <v>129.05594236563547</v>
      </c>
      <c r="AT11" s="112">
        <f t="shared" si="11"/>
        <v>123.71381008105473</v>
      </c>
    </row>
    <row r="12" spans="1:46" x14ac:dyDescent="0.3">
      <c r="A12" s="40"/>
      <c r="B12" s="54"/>
      <c r="C12" s="40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40" t="s">
        <v>148</v>
      </c>
      <c r="J12" s="107">
        <f t="shared" si="15"/>
        <v>51.906970132132585</v>
      </c>
      <c r="K12" s="107">
        <v>0.04</v>
      </c>
      <c r="L12" s="107">
        <f t="shared" si="1"/>
        <v>64.534998705604792</v>
      </c>
      <c r="M12" s="107">
        <f t="shared" si="2"/>
        <v>91.869562905486319</v>
      </c>
      <c r="N12" s="107">
        <f>J12*K12</f>
        <v>2.0762788052853036</v>
      </c>
      <c r="O12" s="107">
        <f t="shared" si="12"/>
        <v>5.9754628431115551</v>
      </c>
      <c r="P12" s="107"/>
      <c r="Q12" s="107"/>
      <c r="R12" s="107"/>
      <c r="S12" s="107"/>
      <c r="T12" s="107"/>
      <c r="U12" s="107">
        <f t="shared" si="3"/>
        <v>164.45630325948798</v>
      </c>
      <c r="V12" s="107">
        <v>38.4</v>
      </c>
      <c r="W12" s="107">
        <f t="shared" si="16"/>
        <v>6.367248</v>
      </c>
      <c r="X12" s="107"/>
      <c r="Y12" s="107">
        <f>Y11*(1+$B$3)</f>
        <v>4.2448319999999997</v>
      </c>
      <c r="Z12" s="107">
        <f>Z11*(1+$B$3)</f>
        <v>13.624055282294346</v>
      </c>
      <c r="AA12" s="107">
        <v>4.08</v>
      </c>
      <c r="AB12" s="107">
        <v>6.3</v>
      </c>
      <c r="AC12" s="107">
        <v>13.6</v>
      </c>
      <c r="AD12" s="107">
        <f t="shared" si="17"/>
        <v>6.2399030400000006</v>
      </c>
      <c r="AE12" s="107">
        <f t="shared" si="17"/>
        <v>4.5413517607647806</v>
      </c>
      <c r="AF12" s="107"/>
      <c r="AG12" s="107">
        <v>12</v>
      </c>
      <c r="AH12" s="107">
        <f t="shared" si="13"/>
        <v>7.4095739254583286</v>
      </c>
      <c r="AI12" s="107"/>
      <c r="AJ12" s="117">
        <f>理財目標費用終值!D10</f>
        <v>29.877314215557771</v>
      </c>
      <c r="AK12" s="176">
        <v>-5</v>
      </c>
      <c r="AL12" s="107">
        <f t="shared" si="6"/>
        <v>141.68427822407523</v>
      </c>
      <c r="AM12" s="110">
        <f t="shared" si="0"/>
        <v>22.772025035412753</v>
      </c>
      <c r="AN12" s="110">
        <f t="shared" si="7"/>
        <v>74.678995167545338</v>
      </c>
      <c r="AO12" s="40"/>
      <c r="AP12" s="112">
        <f t="shared" si="8"/>
        <v>3.8720999223362873</v>
      </c>
      <c r="AQ12" s="112">
        <f t="shared" si="14"/>
        <v>2.7503999999999995</v>
      </c>
      <c r="AR12" s="112">
        <f t="shared" si="9"/>
        <v>142.40723047703457</v>
      </c>
      <c r="AS12" s="112">
        <f t="shared" si="10"/>
        <v>134.38746121294821</v>
      </c>
      <c r="AT12" s="112">
        <f t="shared" si="11"/>
        <v>134.66236248429692</v>
      </c>
    </row>
    <row r="13" spans="1:46" x14ac:dyDescent="0.3">
      <c r="A13" s="40"/>
      <c r="B13" s="54"/>
      <c r="C13" s="40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40" t="s">
        <v>149</v>
      </c>
      <c r="J13" s="107">
        <f t="shared" si="15"/>
        <v>74.678995167545338</v>
      </c>
      <c r="K13" s="107">
        <v>0.04</v>
      </c>
      <c r="L13" s="107">
        <f t="shared" si="1"/>
        <v>65.825698679716893</v>
      </c>
      <c r="M13" s="107">
        <f t="shared" si="2"/>
        <v>92.788258534541185</v>
      </c>
      <c r="N13" s="107">
        <f>J13*K13</f>
        <v>2.9871598067018135</v>
      </c>
      <c r="O13" s="107">
        <f t="shared" si="12"/>
        <v>6.094972099973786</v>
      </c>
      <c r="P13" s="107"/>
      <c r="Q13" s="107"/>
      <c r="R13" s="107"/>
      <c r="S13" s="107"/>
      <c r="T13" s="107"/>
      <c r="U13" s="107">
        <f t="shared" si="3"/>
        <v>167.69608912093366</v>
      </c>
      <c r="V13" s="107">
        <v>38.4</v>
      </c>
      <c r="W13" s="107">
        <f t="shared" si="16"/>
        <v>6.4945929600000003</v>
      </c>
      <c r="X13" s="107"/>
      <c r="Y13" s="107">
        <f>Y12*(1+$B$3)</f>
        <v>4.3297286399999999</v>
      </c>
      <c r="Z13" s="107">
        <f>Z12*(1+$B$3)</f>
        <v>13.896536387940234</v>
      </c>
      <c r="AA13" s="107">
        <v>4.08</v>
      </c>
      <c r="AB13" s="107">
        <v>6.6</v>
      </c>
      <c r="AC13" s="107">
        <v>13.6</v>
      </c>
      <c r="AD13" s="107">
        <f t="shared" si="17"/>
        <v>6.3647011008000005</v>
      </c>
      <c r="AE13" s="107">
        <f t="shared" si="17"/>
        <v>4.6321787959800762</v>
      </c>
      <c r="AF13" s="107"/>
      <c r="AG13" s="107">
        <f>12*2</f>
        <v>24</v>
      </c>
      <c r="AH13" s="107">
        <f t="shared" si="13"/>
        <v>7.5577654039674957</v>
      </c>
      <c r="AI13" s="107"/>
      <c r="AJ13" s="117">
        <f>理財目標費用終值!D11</f>
        <v>30.474860499868928</v>
      </c>
      <c r="AK13" s="176">
        <v>-5</v>
      </c>
      <c r="AL13" s="107">
        <f t="shared" si="6"/>
        <v>155.43036378855672</v>
      </c>
      <c r="AM13" s="110">
        <f t="shared" si="0"/>
        <v>12.265725332376945</v>
      </c>
      <c r="AN13" s="110">
        <f t="shared" si="7"/>
        <v>86.944720499922283</v>
      </c>
      <c r="AO13" s="40"/>
      <c r="AP13" s="112">
        <f t="shared" si="8"/>
        <v>3.9495419207830134</v>
      </c>
      <c r="AQ13" s="112">
        <f t="shared" si="14"/>
        <v>2.7503999999999995</v>
      </c>
      <c r="AR13" s="112">
        <f t="shared" si="9"/>
        <v>149.20491700735829</v>
      </c>
      <c r="AS13" s="112">
        <f t="shared" si="10"/>
        <v>139.82561043720719</v>
      </c>
      <c r="AT13" s="112">
        <f t="shared" si="11"/>
        <v>146.0488569836688</v>
      </c>
    </row>
    <row r="14" spans="1:46" x14ac:dyDescent="0.3">
      <c r="A14" s="40"/>
      <c r="B14" s="54"/>
      <c r="C14" s="40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40"/>
      <c r="J14" s="107">
        <f t="shared" si="15"/>
        <v>86.944720499922283</v>
      </c>
      <c r="K14" s="107">
        <v>0.04</v>
      </c>
      <c r="L14" s="107">
        <f t="shared" si="1"/>
        <v>67.142212653311233</v>
      </c>
      <c r="M14" s="107">
        <f t="shared" si="2"/>
        <v>93.716141119886601</v>
      </c>
      <c r="N14" s="107">
        <f>J14*K14</f>
        <v>3.4777888199968916</v>
      </c>
      <c r="O14" s="107">
        <f t="shared" si="12"/>
        <v>6.2168715419732621</v>
      </c>
      <c r="P14" s="107"/>
      <c r="Q14" s="107"/>
      <c r="R14" s="107"/>
      <c r="S14" s="107"/>
      <c r="T14" s="107"/>
      <c r="U14" s="107">
        <f t="shared" si="3"/>
        <v>170.55301413516801</v>
      </c>
      <c r="V14" s="107">
        <v>38.4</v>
      </c>
      <c r="W14" s="107">
        <f t="shared" si="16"/>
        <v>6.6244848192000001</v>
      </c>
      <c r="X14" s="107"/>
      <c r="Y14" s="107">
        <f>Y13*(1+$B$3)</f>
        <v>4.4163232128000001</v>
      </c>
      <c r="Z14" s="107">
        <f>Z13*(1+$B$3)</f>
        <v>14.17446711569904</v>
      </c>
      <c r="AA14" s="107">
        <v>4.08</v>
      </c>
      <c r="AB14" s="107">
        <v>7.2</v>
      </c>
      <c r="AC14" s="107">
        <v>7.6</v>
      </c>
      <c r="AD14" s="107">
        <f t="shared" si="17"/>
        <v>6.4919951228160002</v>
      </c>
      <c r="AE14" s="107">
        <f t="shared" si="17"/>
        <v>4.7248223718996778</v>
      </c>
      <c r="AF14" s="107"/>
      <c r="AG14" s="107">
        <f t="shared" ref="AG14:AG23" si="18">12*2</f>
        <v>24</v>
      </c>
      <c r="AH14" s="107">
        <f t="shared" si="13"/>
        <v>7.7089207120468455</v>
      </c>
      <c r="AI14" s="107"/>
      <c r="AJ14" s="117">
        <f>理財目標費用終值!D13*(1+B3)</f>
        <v>87.036201587625655</v>
      </c>
      <c r="AK14" s="176"/>
      <c r="AL14" s="107">
        <f t="shared" si="6"/>
        <v>212.45721494208721</v>
      </c>
      <c r="AM14" s="110">
        <f t="shared" si="0"/>
        <v>-41.904200806919192</v>
      </c>
      <c r="AN14" s="110">
        <f t="shared" si="7"/>
        <v>45.040519693003091</v>
      </c>
      <c r="AO14" s="40"/>
      <c r="AP14" s="112">
        <f t="shared" si="8"/>
        <v>4.0285327591986739</v>
      </c>
      <c r="AQ14" s="112">
        <f t="shared" si="14"/>
        <v>2.7503999999999995</v>
      </c>
      <c r="AR14" s="112">
        <f t="shared" si="9"/>
        <v>156.21754810670413</v>
      </c>
      <c r="AS14" s="112">
        <f t="shared" si="10"/>
        <v>145.37252264595134</v>
      </c>
      <c r="AT14" s="112">
        <f t="shared" ref="AT14:AT27" si="19">AT13*(1+$B$7)</f>
        <v>151.89081126301556</v>
      </c>
    </row>
    <row r="15" spans="1:46" x14ac:dyDescent="0.3">
      <c r="A15" s="40"/>
      <c r="B15" s="55"/>
      <c r="C15" s="40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40"/>
      <c r="J15" s="107">
        <f t="shared" si="15"/>
        <v>45.040519693003091</v>
      </c>
      <c r="K15" s="107">
        <v>0.04</v>
      </c>
      <c r="L15" s="107">
        <f t="shared" si="1"/>
        <v>68.485056906377466</v>
      </c>
      <c r="M15" s="107">
        <f t="shared" si="2"/>
        <v>94.653302531085473</v>
      </c>
      <c r="N15" s="107">
        <v>4</v>
      </c>
      <c r="O15" s="107">
        <f t="shared" si="12"/>
        <v>6.3412089728127272</v>
      </c>
      <c r="P15" s="107"/>
      <c r="Q15" s="107"/>
      <c r="R15" s="107"/>
      <c r="S15" s="107"/>
      <c r="T15" s="107"/>
      <c r="U15" s="107">
        <f t="shared" si="3"/>
        <v>173.47956841027568</v>
      </c>
      <c r="V15" s="107">
        <v>38.4</v>
      </c>
      <c r="W15" s="107">
        <v>7</v>
      </c>
      <c r="X15" s="107"/>
      <c r="Y15" s="107">
        <v>5</v>
      </c>
      <c r="Z15" s="107">
        <f t="shared" ref="Z15:Z27" si="20">Z14*(1+$B$3)</f>
        <v>14.457956458013021</v>
      </c>
      <c r="AA15" s="107">
        <v>4.08</v>
      </c>
      <c r="AB15" s="107">
        <v>7.5</v>
      </c>
      <c r="AC15" s="107">
        <v>7.6</v>
      </c>
      <c r="AD15" s="107">
        <f t="shared" si="17"/>
        <v>6.6218350252723202</v>
      </c>
      <c r="AE15" s="107">
        <f t="shared" si="17"/>
        <v>4.8193188193376715</v>
      </c>
      <c r="AF15" s="107"/>
      <c r="AG15" s="107">
        <f t="shared" si="18"/>
        <v>24</v>
      </c>
      <c r="AH15" s="107">
        <f t="shared" si="13"/>
        <v>7.863099126287783</v>
      </c>
      <c r="AI15" s="107"/>
      <c r="AJ15" s="125"/>
      <c r="AK15" s="176"/>
      <c r="AL15" s="107">
        <f t="shared" si="6"/>
        <v>127.34220942891078</v>
      </c>
      <c r="AM15" s="110">
        <f t="shared" si="0"/>
        <v>46.137358981364898</v>
      </c>
      <c r="AN15" s="110">
        <f t="shared" si="7"/>
        <v>91.177878674367989</v>
      </c>
      <c r="AO15" s="40"/>
      <c r="AP15" s="112">
        <f t="shared" si="8"/>
        <v>4.1091034143826475</v>
      </c>
      <c r="AQ15" s="112">
        <f t="shared" si="14"/>
        <v>2.7503999999999995</v>
      </c>
      <c r="AR15" s="112">
        <f t="shared" si="9"/>
        <v>163.45100248322086</v>
      </c>
      <c r="AS15" s="112">
        <f t="shared" si="10"/>
        <v>151.03037309887037</v>
      </c>
      <c r="AT15" s="112">
        <f t="shared" si="19"/>
        <v>157.96644371353619</v>
      </c>
    </row>
    <row r="16" spans="1:46" x14ac:dyDescent="0.3">
      <c r="A16" s="40"/>
      <c r="B16" s="40"/>
      <c r="C16" s="40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40"/>
      <c r="J16" s="107">
        <f t="shared" si="15"/>
        <v>91.177878674367989</v>
      </c>
      <c r="K16" s="107">
        <v>0.04</v>
      </c>
      <c r="L16" s="107">
        <f t="shared" si="1"/>
        <v>69.854758044505019</v>
      </c>
      <c r="M16" s="107">
        <f t="shared" si="2"/>
        <v>95.599835556396329</v>
      </c>
      <c r="N16" s="107">
        <f t="shared" ref="N16:N53" si="21">J16*K16</f>
        <v>3.6471151469747198</v>
      </c>
      <c r="O16" s="107">
        <f t="shared" si="12"/>
        <v>6.4680331522689816</v>
      </c>
      <c r="P16" s="107"/>
      <c r="Q16" s="107"/>
      <c r="R16" s="107"/>
      <c r="S16" s="107"/>
      <c r="T16" s="107"/>
      <c r="U16" s="107">
        <f t="shared" si="3"/>
        <v>175.56974190014506</v>
      </c>
      <c r="V16" s="107">
        <v>38.4</v>
      </c>
      <c r="W16" s="107">
        <f>W15*(1+$B$3)</f>
        <v>7.1400000000000006</v>
      </c>
      <c r="X16" s="107"/>
      <c r="Y16" s="107">
        <f>Y15*(1+$B$3)</f>
        <v>5.0999999999999996</v>
      </c>
      <c r="Z16" s="107">
        <f t="shared" si="20"/>
        <v>14.747115587173282</v>
      </c>
      <c r="AA16" s="107">
        <v>4.08</v>
      </c>
      <c r="AB16" s="107">
        <v>7.8</v>
      </c>
      <c r="AC16" s="107">
        <v>7.6</v>
      </c>
      <c r="AD16" s="107">
        <f t="shared" si="17"/>
        <v>6.7542717257777669</v>
      </c>
      <c r="AE16" s="107">
        <f t="shared" si="17"/>
        <v>4.9157051957244251</v>
      </c>
      <c r="AF16" s="107"/>
      <c r="AG16" s="107">
        <f t="shared" si="18"/>
        <v>24</v>
      </c>
      <c r="AH16" s="107">
        <f t="shared" si="13"/>
        <v>8.0203611088135389</v>
      </c>
      <c r="AI16" s="107"/>
      <c r="AJ16" s="117"/>
      <c r="AK16" s="107"/>
      <c r="AL16" s="107">
        <f t="shared" si="6"/>
        <v>128.55745361748902</v>
      </c>
      <c r="AM16" s="110">
        <f t="shared" si="0"/>
        <v>47.012288282656044</v>
      </c>
      <c r="AN16" s="110">
        <f t="shared" si="7"/>
        <v>138.19016695702402</v>
      </c>
      <c r="AO16" s="40"/>
      <c r="AP16" s="112">
        <f t="shared" si="8"/>
        <v>4.1912854826703008</v>
      </c>
      <c r="AQ16" s="112">
        <f t="shared" si="14"/>
        <v>2.7503999999999995</v>
      </c>
      <c r="AR16" s="112">
        <f t="shared" si="9"/>
        <v>170.91130801555559</v>
      </c>
      <c r="AS16" s="112">
        <f t="shared" si="10"/>
        <v>156.8013805608478</v>
      </c>
      <c r="AT16" s="112">
        <f t="shared" si="19"/>
        <v>164.28510146207765</v>
      </c>
    </row>
    <row r="17" spans="1:46" x14ac:dyDescent="0.3">
      <c r="A17" s="40"/>
      <c r="B17" s="55"/>
      <c r="C17" s="40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40"/>
      <c r="J17" s="107">
        <f t="shared" si="15"/>
        <v>138.19016695702402</v>
      </c>
      <c r="K17" s="107">
        <v>0.04</v>
      </c>
      <c r="L17" s="107">
        <f t="shared" si="1"/>
        <v>71.251853205395122</v>
      </c>
      <c r="M17" s="107">
        <f t="shared" si="2"/>
        <v>96.555833911960292</v>
      </c>
      <c r="N17" s="107">
        <f t="shared" si="21"/>
        <v>5.5276066782809608</v>
      </c>
      <c r="O17" s="107">
        <f t="shared" si="12"/>
        <v>6.5973938153143612</v>
      </c>
      <c r="P17" s="107"/>
      <c r="Q17" s="107"/>
      <c r="R17" s="107"/>
      <c r="S17" s="107"/>
      <c r="T17" s="107"/>
      <c r="U17" s="107">
        <f t="shared" si="3"/>
        <v>179.93268761095072</v>
      </c>
      <c r="V17" s="107">
        <v>38.4</v>
      </c>
      <c r="W17" s="107">
        <f t="shared" si="16"/>
        <v>7.2828000000000008</v>
      </c>
      <c r="X17" s="107"/>
      <c r="Y17" s="107">
        <f>Y16*(1+$B$3)</f>
        <v>5.202</v>
      </c>
      <c r="Z17" s="107">
        <f t="shared" si="20"/>
        <v>15.042057898916747</v>
      </c>
      <c r="AA17" s="107">
        <v>4.08</v>
      </c>
      <c r="AB17" s="107">
        <v>8</v>
      </c>
      <c r="AC17" s="107">
        <v>7.6</v>
      </c>
      <c r="AD17" s="107">
        <f t="shared" si="17"/>
        <v>6.8893571602933221</v>
      </c>
      <c r="AE17" s="107">
        <f t="shared" si="17"/>
        <v>5.0140192996389139</v>
      </c>
      <c r="AF17" s="107"/>
      <c r="AG17" s="107">
        <f t="shared" si="18"/>
        <v>24</v>
      </c>
      <c r="AH17" s="107">
        <f t="shared" si="13"/>
        <v>8.1807683309898103</v>
      </c>
      <c r="AI17" s="107"/>
      <c r="AJ17" s="117"/>
      <c r="AK17" s="107"/>
      <c r="AL17" s="107">
        <f t="shared" si="6"/>
        <v>129.6910026898388</v>
      </c>
      <c r="AM17" s="110">
        <f t="shared" si="0"/>
        <v>50.241684921111926</v>
      </c>
      <c r="AN17" s="110">
        <f t="shared" si="7"/>
        <v>188.43185187813594</v>
      </c>
      <c r="AO17" s="40"/>
      <c r="AP17" s="112">
        <f t="shared" si="8"/>
        <v>4.2751111923237071</v>
      </c>
      <c r="AQ17" s="112">
        <f t="shared" si="14"/>
        <v>2.7503999999999995</v>
      </c>
      <c r="AR17" s="112">
        <f t="shared" si="9"/>
        <v>178.60464536819043</v>
      </c>
      <c r="AS17" s="112">
        <f t="shared" si="10"/>
        <v>162.68780817206476</v>
      </c>
      <c r="AT17" s="112">
        <f t="shared" si="19"/>
        <v>170.85650552056077</v>
      </c>
    </row>
    <row r="18" spans="1:46" x14ac:dyDescent="0.3">
      <c r="A18" s="40"/>
      <c r="B18" s="55"/>
      <c r="C18" s="40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40"/>
      <c r="J18" s="107">
        <f t="shared" si="15"/>
        <v>188.43185187813594</v>
      </c>
      <c r="K18" s="107">
        <v>0.04</v>
      </c>
      <c r="L18" s="107">
        <f t="shared" si="1"/>
        <v>72.676890269503019</v>
      </c>
      <c r="M18" s="107">
        <f t="shared" si="2"/>
        <v>97.521392251079902</v>
      </c>
      <c r="N18" s="107">
        <f t="shared" si="21"/>
        <v>7.5372740751254383</v>
      </c>
      <c r="O18" s="107">
        <f t="shared" si="12"/>
        <v>6.7293416916206485</v>
      </c>
      <c r="P18" s="107"/>
      <c r="Q18" s="107"/>
      <c r="R18" s="107"/>
      <c r="S18" s="107"/>
      <c r="T18" s="107"/>
      <c r="U18" s="107">
        <f t="shared" si="3"/>
        <v>184.46489828732902</v>
      </c>
      <c r="V18" s="107">
        <v>38.4</v>
      </c>
      <c r="W18" s="107">
        <f t="shared" si="16"/>
        <v>7.4284560000000006</v>
      </c>
      <c r="X18" s="107"/>
      <c r="Y18" s="107">
        <f>Y17*(1+$B$3)</f>
        <v>5.3060400000000003</v>
      </c>
      <c r="Z18" s="107">
        <f t="shared" si="20"/>
        <v>15.342899056895082</v>
      </c>
      <c r="AA18" s="107">
        <v>4.08</v>
      </c>
      <c r="AB18" s="107">
        <v>8.3000000000000007</v>
      </c>
      <c r="AC18" s="107">
        <v>7.6</v>
      </c>
      <c r="AD18" s="107">
        <f t="shared" si="17"/>
        <v>7.0271443034991883</v>
      </c>
      <c r="AE18" s="107">
        <f t="shared" si="17"/>
        <v>5.1142996856316927</v>
      </c>
      <c r="AF18" s="107"/>
      <c r="AG18" s="107">
        <f t="shared" si="18"/>
        <v>24</v>
      </c>
      <c r="AH18" s="107">
        <f t="shared" si="13"/>
        <v>8.3443836976096062</v>
      </c>
      <c r="AI18" s="107"/>
      <c r="AJ18" s="117"/>
      <c r="AK18" s="107"/>
      <c r="AL18" s="107">
        <f t="shared" si="6"/>
        <v>130.94322274363557</v>
      </c>
      <c r="AM18" s="110">
        <f t="shared" si="0"/>
        <v>53.521675543693448</v>
      </c>
      <c r="AN18" s="110">
        <f t="shared" si="7"/>
        <v>241.95352742182939</v>
      </c>
      <c r="AO18" s="40"/>
      <c r="AP18" s="112">
        <f t="shared" si="8"/>
        <v>4.3606134161701808</v>
      </c>
      <c r="AQ18" s="112">
        <f t="shared" si="14"/>
        <v>2.7503999999999995</v>
      </c>
      <c r="AR18" s="112">
        <f t="shared" si="9"/>
        <v>186.53735169172441</v>
      </c>
      <c r="AS18" s="112">
        <f t="shared" si="10"/>
        <v>168.69196433550607</v>
      </c>
      <c r="AT18" s="112">
        <f t="shared" si="19"/>
        <v>177.69076574138322</v>
      </c>
    </row>
    <row r="19" spans="1:46" x14ac:dyDescent="0.3">
      <c r="A19" s="40"/>
      <c r="B19" s="55"/>
      <c r="C19" s="40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40"/>
      <c r="J19" s="107">
        <f t="shared" si="15"/>
        <v>241.95352742182939</v>
      </c>
      <c r="K19" s="107">
        <v>0.04</v>
      </c>
      <c r="L19" s="107">
        <f t="shared" si="1"/>
        <v>74.130428074893075</v>
      </c>
      <c r="M19" s="107">
        <f t="shared" si="2"/>
        <v>98.496606173590706</v>
      </c>
      <c r="N19" s="107">
        <f t="shared" si="21"/>
        <v>9.6781410968731763</v>
      </c>
      <c r="O19" s="107">
        <f t="shared" si="12"/>
        <v>6.863928525453062</v>
      </c>
      <c r="P19" s="107"/>
      <c r="Q19" s="107"/>
      <c r="R19" s="107"/>
      <c r="S19" s="107"/>
      <c r="T19" s="107"/>
      <c r="U19" s="107">
        <f t="shared" si="3"/>
        <v>189.16910387080998</v>
      </c>
      <c r="V19" s="107"/>
      <c r="W19" s="107">
        <f t="shared" si="16"/>
        <v>7.5770251200000009</v>
      </c>
      <c r="X19" s="107"/>
      <c r="Y19" s="107">
        <f>Y18*(1+$B$3)</f>
        <v>5.4121608000000005</v>
      </c>
      <c r="Z19" s="107">
        <f t="shared" si="20"/>
        <v>15.649757038032984</v>
      </c>
      <c r="AA19" s="107">
        <v>4.08</v>
      </c>
      <c r="AB19" s="107">
        <v>8.5</v>
      </c>
      <c r="AC19" s="107">
        <v>7.6</v>
      </c>
      <c r="AD19" s="107">
        <f t="shared" si="17"/>
        <v>7.1676871895691718</v>
      </c>
      <c r="AE19" s="107">
        <f t="shared" si="17"/>
        <v>5.2165856793443268</v>
      </c>
      <c r="AF19" s="107"/>
      <c r="AG19" s="107">
        <f t="shared" si="18"/>
        <v>24</v>
      </c>
      <c r="AH19" s="107">
        <f t="shared" si="13"/>
        <v>8.5112713715617989</v>
      </c>
      <c r="AI19" s="107"/>
      <c r="AJ19" s="117"/>
      <c r="AK19" s="107"/>
      <c r="AL19" s="107">
        <f t="shared" si="6"/>
        <v>93.714487198508294</v>
      </c>
      <c r="AM19" s="110">
        <f t="shared" si="0"/>
        <v>95.454616672301682</v>
      </c>
      <c r="AN19" s="110">
        <f t="shared" si="7"/>
        <v>337.4081440941311</v>
      </c>
      <c r="AO19" s="40"/>
      <c r="AP19" s="112">
        <f t="shared" si="8"/>
        <v>4.4478256844935844</v>
      </c>
      <c r="AQ19" s="112">
        <f t="shared" si="14"/>
        <v>2.7503999999999995</v>
      </c>
      <c r="AR19" s="112">
        <f t="shared" si="9"/>
        <v>194.71592441005248</v>
      </c>
      <c r="AS19" s="112">
        <f t="shared" si="10"/>
        <v>174.81620362221622</v>
      </c>
      <c r="AT19" s="112">
        <f t="shared" si="19"/>
        <v>184.79839637103856</v>
      </c>
    </row>
    <row r="20" spans="1:46" x14ac:dyDescent="0.3">
      <c r="A20" s="40"/>
      <c r="B20" s="55"/>
      <c r="C20" s="40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40"/>
      <c r="J20" s="107">
        <f t="shared" si="15"/>
        <v>337.4081440941311</v>
      </c>
      <c r="K20" s="107">
        <v>0.04</v>
      </c>
      <c r="L20" s="107">
        <f t="shared" si="1"/>
        <v>75.613036636390945</v>
      </c>
      <c r="M20" s="107">
        <f t="shared" si="2"/>
        <v>99.48157223532661</v>
      </c>
      <c r="N20" s="107">
        <f t="shared" si="21"/>
        <v>13.496325763765244</v>
      </c>
      <c r="O20" s="107">
        <f t="shared" si="12"/>
        <v>7.0012070959621235</v>
      </c>
      <c r="P20" s="107"/>
      <c r="Q20" s="107"/>
      <c r="R20" s="107"/>
      <c r="S20" s="107"/>
      <c r="T20" s="107"/>
      <c r="U20" s="107">
        <f t="shared" si="3"/>
        <v>195.59214173144491</v>
      </c>
      <c r="V20" s="107"/>
      <c r="W20" s="107">
        <f t="shared" si="16"/>
        <v>7.7285656224000014</v>
      </c>
      <c r="X20" s="107"/>
      <c r="Y20" s="107">
        <f>Y19*(1+$B$3)</f>
        <v>5.5204040160000005</v>
      </c>
      <c r="Z20" s="107">
        <f t="shared" si="20"/>
        <v>15.962752178793645</v>
      </c>
      <c r="AA20" s="107">
        <v>4.08</v>
      </c>
      <c r="AB20" s="107">
        <v>8.8000000000000007</v>
      </c>
      <c r="AC20" s="107">
        <v>7.6</v>
      </c>
      <c r="AD20" s="107">
        <f t="shared" si="17"/>
        <v>7.3110409333605553</v>
      </c>
      <c r="AE20" s="107">
        <f t="shared" si="17"/>
        <v>5.3209173929312135</v>
      </c>
      <c r="AF20" s="107"/>
      <c r="AG20" s="107">
        <f t="shared" si="18"/>
        <v>24</v>
      </c>
      <c r="AH20" s="107">
        <f t="shared" si="13"/>
        <v>8.6814967989930345</v>
      </c>
      <c r="AI20" s="107"/>
      <c r="AJ20" s="117"/>
      <c r="AK20" s="107"/>
      <c r="AL20" s="107">
        <f t="shared" si="6"/>
        <v>95.005176942478442</v>
      </c>
      <c r="AM20" s="110">
        <f t="shared" si="0"/>
        <v>100.58696478896647</v>
      </c>
      <c r="AN20" s="110">
        <f t="shared" si="7"/>
        <v>437.9951088830976</v>
      </c>
      <c r="AO20" s="40"/>
      <c r="AP20" s="112">
        <f t="shared" si="8"/>
        <v>4.5367821981834568</v>
      </c>
      <c r="AQ20" s="112">
        <f t="shared" si="14"/>
        <v>2.7503999999999995</v>
      </c>
      <c r="AR20" s="112">
        <f t="shared" si="9"/>
        <v>203.14702509643701</v>
      </c>
      <c r="AS20" s="112">
        <f t="shared" si="10"/>
        <v>181.06292769466057</v>
      </c>
      <c r="AT20" s="112">
        <f t="shared" si="19"/>
        <v>192.19033222588013</v>
      </c>
    </row>
    <row r="21" spans="1:46" x14ac:dyDescent="0.3">
      <c r="A21" s="40"/>
      <c r="B21" s="55"/>
      <c r="C21" s="40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40"/>
      <c r="J21" s="107">
        <f t="shared" si="15"/>
        <v>437.9951088830976</v>
      </c>
      <c r="K21" s="107">
        <v>0.04</v>
      </c>
      <c r="L21" s="107">
        <f t="shared" si="1"/>
        <v>77.125297369118769</v>
      </c>
      <c r="M21" s="107">
        <f t="shared" si="2"/>
        <v>100.47638795767988</v>
      </c>
      <c r="N21" s="107">
        <f t="shared" si="21"/>
        <v>17.519804355323906</v>
      </c>
      <c r="O21" s="107">
        <f t="shared" si="12"/>
        <v>7.1412312378813665</v>
      </c>
      <c r="P21" s="107"/>
      <c r="Q21" s="107"/>
      <c r="R21" s="107"/>
      <c r="S21" s="107"/>
      <c r="T21" s="107"/>
      <c r="U21" s="107">
        <f t="shared" si="3"/>
        <v>202.26272092000391</v>
      </c>
      <c r="V21" s="107"/>
      <c r="W21" s="107">
        <v>8</v>
      </c>
      <c r="X21" s="107"/>
      <c r="Y21" s="107">
        <v>6</v>
      </c>
      <c r="Z21" s="107">
        <f t="shared" si="20"/>
        <v>16.282007222369518</v>
      </c>
      <c r="AA21" s="107">
        <v>4.08</v>
      </c>
      <c r="AB21" s="107">
        <v>9.1</v>
      </c>
      <c r="AC21" s="107">
        <v>7.6</v>
      </c>
      <c r="AD21" s="107">
        <f t="shared" si="17"/>
        <v>7.4572617520277662</v>
      </c>
      <c r="AE21" s="107">
        <f t="shared" si="17"/>
        <v>5.4273357407898377</v>
      </c>
      <c r="AF21" s="107"/>
      <c r="AG21" s="107">
        <f t="shared" si="18"/>
        <v>24</v>
      </c>
      <c r="AH21" s="107">
        <f t="shared" si="13"/>
        <v>8.8551267349728953</v>
      </c>
      <c r="AI21" s="107"/>
      <c r="AJ21" s="117"/>
      <c r="AK21" s="107"/>
      <c r="AL21" s="107">
        <f t="shared" si="6"/>
        <v>96.801731450160034</v>
      </c>
      <c r="AM21" s="110">
        <f t="shared" si="0"/>
        <v>105.46098946984388</v>
      </c>
      <c r="AN21" s="110">
        <f t="shared" si="7"/>
        <v>543.45609835294147</v>
      </c>
      <c r="AO21" s="40"/>
      <c r="AP21" s="112">
        <f t="shared" si="8"/>
        <v>4.6275178421471264</v>
      </c>
      <c r="AQ21" s="112">
        <f t="shared" si="14"/>
        <v>2.7503999999999995</v>
      </c>
      <c r="AR21" s="112">
        <f t="shared" si="9"/>
        <v>211.83748344051287</v>
      </c>
      <c r="AS21" s="112">
        <f t="shared" si="10"/>
        <v>187.43458624855381</v>
      </c>
      <c r="AT21" s="112">
        <f t="shared" si="19"/>
        <v>199.87794551491533</v>
      </c>
    </row>
    <row r="22" spans="1:46" x14ac:dyDescent="0.3">
      <c r="A22" s="40"/>
      <c r="B22" s="55"/>
      <c r="C22" s="40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J22" s="107">
        <f t="shared" si="15"/>
        <v>543.45609835294147</v>
      </c>
      <c r="K22" s="107">
        <v>0.04</v>
      </c>
      <c r="L22" s="107">
        <f t="shared" si="1"/>
        <v>78.66780331650115</v>
      </c>
      <c r="M22" s="107">
        <f t="shared" si="2"/>
        <v>101.48115183725668</v>
      </c>
      <c r="N22" s="107">
        <f t="shared" si="21"/>
        <v>21.738243934117659</v>
      </c>
      <c r="O22" s="107">
        <f t="shared" si="12"/>
        <v>7.2840558626389935</v>
      </c>
      <c r="P22" s="107"/>
      <c r="Q22" s="107"/>
      <c r="R22" s="107"/>
      <c r="S22" s="107"/>
      <c r="T22" s="107"/>
      <c r="U22" s="107">
        <f t="shared" si="3"/>
        <v>209.17125495051448</v>
      </c>
      <c r="V22" s="107"/>
      <c r="W22" s="107">
        <f>W21*(1+$B$3)</f>
        <v>8.16</v>
      </c>
      <c r="X22" s="107"/>
      <c r="Y22" s="107">
        <f>Y21*(1+$B$3)</f>
        <v>6.12</v>
      </c>
      <c r="Z22" s="107">
        <f t="shared" si="20"/>
        <v>16.607647366816909</v>
      </c>
      <c r="AA22" s="107">
        <v>4.08</v>
      </c>
      <c r="AB22" s="107">
        <v>9.4</v>
      </c>
      <c r="AC22" s="107">
        <v>7.6</v>
      </c>
      <c r="AD22" s="107">
        <f t="shared" si="17"/>
        <v>7.606406987068322</v>
      </c>
      <c r="AE22" s="107">
        <f t="shared" si="17"/>
        <v>5.535882455605635</v>
      </c>
      <c r="AF22" s="107"/>
      <c r="AG22" s="107">
        <f t="shared" si="18"/>
        <v>24</v>
      </c>
      <c r="AH22" s="107">
        <f t="shared" si="13"/>
        <v>9.032229269672353</v>
      </c>
      <c r="AI22" s="107"/>
      <c r="AJ22" s="117"/>
      <c r="AK22" s="107"/>
      <c r="AL22" s="107">
        <f t="shared" si="6"/>
        <v>98.142166079163218</v>
      </c>
      <c r="AM22" s="110">
        <f t="shared" si="0"/>
        <v>111.02908887135126</v>
      </c>
      <c r="AN22" s="110">
        <f t="shared" si="7"/>
        <v>654.48518722429276</v>
      </c>
      <c r="AO22" s="40"/>
      <c r="AP22" s="112">
        <f t="shared" si="8"/>
        <v>4.7200681989900692</v>
      </c>
      <c r="AQ22" s="112">
        <f t="shared" si="14"/>
        <v>2.7503999999999995</v>
      </c>
      <c r="AR22" s="112">
        <f t="shared" si="9"/>
        <v>220.79430130831321</v>
      </c>
      <c r="AS22" s="112">
        <f t="shared" si="10"/>
        <v>193.93367797352491</v>
      </c>
      <c r="AT22" s="112">
        <f t="shared" si="19"/>
        <v>207.87306333551194</v>
      </c>
    </row>
    <row r="23" spans="1:46" x14ac:dyDescent="0.3">
      <c r="A23" s="40"/>
      <c r="B23" s="55"/>
      <c r="C23" s="40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40" t="s">
        <v>137</v>
      </c>
      <c r="J23" s="107">
        <f t="shared" si="15"/>
        <v>654.48518722429276</v>
      </c>
      <c r="K23" s="107">
        <v>0.04</v>
      </c>
      <c r="L23" s="107">
        <f t="shared" si="1"/>
        <v>80.241159382831171</v>
      </c>
      <c r="M23" s="107">
        <f t="shared" si="2"/>
        <v>102.49596335562924</v>
      </c>
      <c r="N23" s="107">
        <f t="shared" si="21"/>
        <v>26.179407488971712</v>
      </c>
      <c r="O23" s="107">
        <f t="shared" si="12"/>
        <v>7.4297369798917732</v>
      </c>
      <c r="P23" s="107"/>
      <c r="Q23" s="107"/>
      <c r="R23" s="107"/>
      <c r="S23" s="107"/>
      <c r="T23" s="107"/>
      <c r="U23" s="107">
        <f t="shared" si="3"/>
        <v>216.3462672073239</v>
      </c>
      <c r="V23" s="107"/>
      <c r="W23" s="107">
        <f t="shared" si="16"/>
        <v>8.3231999999999999</v>
      </c>
      <c r="X23" s="107"/>
      <c r="Y23" s="107">
        <f>Y22*(1+$B$3)</f>
        <v>6.2423999999999999</v>
      </c>
      <c r="Z23" s="107">
        <f t="shared" si="20"/>
        <v>16.939800314153249</v>
      </c>
      <c r="AA23" s="107">
        <v>4.08</v>
      </c>
      <c r="AB23" s="107">
        <v>9.6999999999999993</v>
      </c>
      <c r="AC23" s="107">
        <v>7.6</v>
      </c>
      <c r="AD23" s="107">
        <f t="shared" si="17"/>
        <v>7.7585351268096883</v>
      </c>
      <c r="AE23" s="107">
        <f t="shared" si="17"/>
        <v>5.6466001047177476</v>
      </c>
      <c r="AF23" s="107"/>
      <c r="AG23" s="107">
        <f t="shared" si="18"/>
        <v>24</v>
      </c>
      <c r="AH23" s="107">
        <f t="shared" si="13"/>
        <v>9.2128738550657996</v>
      </c>
      <c r="AI23" s="107"/>
      <c r="AJ23" s="117">
        <f>理財目標費用終值!D14</f>
        <v>104.0163177184848</v>
      </c>
      <c r="AK23" s="107"/>
      <c r="AL23" s="107">
        <f t="shared" si="6"/>
        <v>203.51972711923128</v>
      </c>
      <c r="AM23" s="110">
        <f t="shared" si="0"/>
        <v>12.826540088092628</v>
      </c>
      <c r="AN23" s="110">
        <f t="shared" si="7"/>
        <v>667.31172731238541</v>
      </c>
      <c r="AO23" s="40"/>
      <c r="AP23" s="112">
        <f t="shared" si="8"/>
        <v>4.8144695629698697</v>
      </c>
      <c r="AQ23" s="112">
        <f t="shared" si="14"/>
        <v>2.7503999999999995</v>
      </c>
      <c r="AR23" s="112">
        <f t="shared" si="9"/>
        <v>230.02465689744935</v>
      </c>
      <c r="AS23" s="112">
        <f t="shared" si="10"/>
        <v>200.56275153299543</v>
      </c>
      <c r="AT23" s="112">
        <f t="shared" si="19"/>
        <v>216.18798586893243</v>
      </c>
    </row>
    <row r="24" spans="1:46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J24" s="107">
        <f t="shared" si="15"/>
        <v>667.31172731238541</v>
      </c>
      <c r="K24" s="107">
        <v>0.04</v>
      </c>
      <c r="L24" s="107">
        <f t="shared" si="1"/>
        <v>81.845982570487791</v>
      </c>
      <c r="M24" s="107">
        <f t="shared" si="2"/>
        <v>103.52092298918554</v>
      </c>
      <c r="N24" s="107">
        <f t="shared" si="21"/>
        <v>26.692469092495418</v>
      </c>
      <c r="O24" s="107">
        <f t="shared" si="12"/>
        <v>7.5783317194896087</v>
      </c>
      <c r="P24" s="107"/>
      <c r="Q24" s="107"/>
      <c r="R24" s="107"/>
      <c r="S24" s="112"/>
      <c r="T24" s="112"/>
      <c r="U24" s="107">
        <f t="shared" si="3"/>
        <v>219.63770637165837</v>
      </c>
      <c r="V24" s="112"/>
      <c r="W24" s="107">
        <f t="shared" si="16"/>
        <v>8.4896639999999994</v>
      </c>
      <c r="X24" s="112"/>
      <c r="Y24" s="107">
        <f>Y23*(1+$B$3)</f>
        <v>6.367248</v>
      </c>
      <c r="Z24" s="107">
        <f t="shared" si="20"/>
        <v>17.278596320436314</v>
      </c>
      <c r="AA24" s="107">
        <v>4.08</v>
      </c>
      <c r="AB24" s="107">
        <v>10</v>
      </c>
      <c r="AC24" s="107">
        <v>6.4</v>
      </c>
      <c r="AD24" s="107">
        <f t="shared" si="17"/>
        <v>7.913705829345882</v>
      </c>
      <c r="AE24" s="107">
        <f t="shared" si="17"/>
        <v>5.7595321068121024</v>
      </c>
      <c r="AF24" s="112"/>
      <c r="AG24" s="107"/>
      <c r="AH24" s="112"/>
      <c r="AI24" s="112"/>
      <c r="AJ24" s="112"/>
      <c r="AK24" s="112"/>
      <c r="AL24" s="107">
        <f t="shared" si="6"/>
        <v>66.288746256594294</v>
      </c>
      <c r="AM24" s="110">
        <f t="shared" si="0"/>
        <v>153.34896011506407</v>
      </c>
      <c r="AN24" s="110">
        <f t="shared" si="7"/>
        <v>820.66068742744949</v>
      </c>
      <c r="AP24" s="112">
        <f t="shared" si="8"/>
        <v>4.9107589542292676</v>
      </c>
      <c r="AQ24" s="112">
        <f t="shared" si="14"/>
        <v>2.7503999999999995</v>
      </c>
      <c r="AR24" s="112">
        <f t="shared" si="9"/>
        <v>239.53590898962761</v>
      </c>
      <c r="AS24" s="112">
        <f t="shared" si="10"/>
        <v>207.32440656365537</v>
      </c>
      <c r="AT24" s="112">
        <f t="shared" si="19"/>
        <v>224.83550530368973</v>
      </c>
    </row>
    <row r="25" spans="1:46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J25" s="107">
        <f t="shared" si="15"/>
        <v>820.66068742744949</v>
      </c>
      <c r="K25" s="107">
        <v>0.04</v>
      </c>
      <c r="L25" s="107">
        <f t="shared" si="1"/>
        <v>83.482902221897547</v>
      </c>
      <c r="M25" s="107">
        <f t="shared" si="2"/>
        <v>104.5561322190774</v>
      </c>
      <c r="N25" s="107">
        <f t="shared" si="21"/>
        <v>32.826427497097981</v>
      </c>
      <c r="O25" s="107">
        <f t="shared" si="12"/>
        <v>7.7298983538794008</v>
      </c>
      <c r="P25" s="107"/>
      <c r="Q25" s="107"/>
      <c r="R25" s="107"/>
      <c r="S25" s="112"/>
      <c r="T25" s="112"/>
      <c r="U25" s="107">
        <f t="shared" si="3"/>
        <v>228.59536029195235</v>
      </c>
      <c r="V25" s="112"/>
      <c r="W25" s="107">
        <f t="shared" si="16"/>
        <v>8.6594572799999998</v>
      </c>
      <c r="X25" s="112"/>
      <c r="Y25" s="107">
        <f>Y24*(1+$B$3)</f>
        <v>6.4945929600000003</v>
      </c>
      <c r="Z25" s="107">
        <f t="shared" si="20"/>
        <v>17.624168246845041</v>
      </c>
      <c r="AA25" s="107">
        <v>4.08</v>
      </c>
      <c r="AB25" s="107">
        <v>10.3</v>
      </c>
      <c r="AC25" s="107">
        <v>6.4</v>
      </c>
      <c r="AD25" s="107">
        <f t="shared" si="17"/>
        <v>8.0719799459327994</v>
      </c>
      <c r="AE25" s="107">
        <f t="shared" si="17"/>
        <v>5.8747227489483445</v>
      </c>
      <c r="AF25" s="112"/>
      <c r="AG25" s="112"/>
      <c r="AH25" s="112"/>
      <c r="AI25" s="112"/>
      <c r="AJ25" s="112"/>
      <c r="AK25" s="112"/>
      <c r="AL25" s="107">
        <f t="shared" si="6"/>
        <v>67.504921181726189</v>
      </c>
      <c r="AM25" s="110">
        <f t="shared" si="0"/>
        <v>161.09043911022616</v>
      </c>
      <c r="AN25" s="110">
        <f t="shared" si="7"/>
        <v>981.75112653767565</v>
      </c>
      <c r="AP25" s="112">
        <f t="shared" si="8"/>
        <v>5.0089741333138527</v>
      </c>
      <c r="AQ25" s="112">
        <f t="shared" si="14"/>
        <v>2.7503999999999995</v>
      </c>
      <c r="AR25" s="112">
        <f t="shared" si="9"/>
        <v>249.33560130273401</v>
      </c>
      <c r="AS25" s="112">
        <f t="shared" si="10"/>
        <v>214.2212946949285</v>
      </c>
      <c r="AT25" s="112">
        <f t="shared" si="19"/>
        <v>233.82892551583731</v>
      </c>
    </row>
    <row r="26" spans="1:46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J26" s="107">
        <f t="shared" si="15"/>
        <v>981.75112653767565</v>
      </c>
      <c r="K26" s="107">
        <v>0.04</v>
      </c>
      <c r="L26" s="107">
        <f t="shared" si="1"/>
        <v>85.152560266335499</v>
      </c>
      <c r="M26" s="107">
        <f t="shared" si="2"/>
        <v>105.60169354126818</v>
      </c>
      <c r="N26" s="107">
        <f t="shared" si="21"/>
        <v>39.270045061507027</v>
      </c>
      <c r="O26" s="107">
        <f t="shared" si="12"/>
        <v>7.8844963209569894</v>
      </c>
      <c r="P26" s="107"/>
      <c r="Q26" s="107"/>
      <c r="R26" s="107"/>
      <c r="S26" s="112"/>
      <c r="T26" s="112"/>
      <c r="U26" s="107">
        <f t="shared" si="3"/>
        <v>237.90879519006771</v>
      </c>
      <c r="V26" s="112"/>
      <c r="W26" s="107">
        <f t="shared" si="16"/>
        <v>8.8326464256000001</v>
      </c>
      <c r="X26" s="112"/>
      <c r="Y26" s="107">
        <f>Y25*(1+$B$3)</f>
        <v>6.6244848192000001</v>
      </c>
      <c r="Z26" s="107">
        <f t="shared" si="20"/>
        <v>17.976651611781943</v>
      </c>
      <c r="AA26" s="107">
        <v>4.08</v>
      </c>
      <c r="AB26" s="107">
        <v>10.6</v>
      </c>
      <c r="AC26" s="107">
        <v>6.4</v>
      </c>
      <c r="AD26" s="107">
        <f t="shared" ref="AD26:AE27" si="22">AD25*(1+$B$3)</f>
        <v>8.233419544851456</v>
      </c>
      <c r="AE26" s="107">
        <f t="shared" si="22"/>
        <v>5.9922172039273116</v>
      </c>
      <c r="AF26" s="112"/>
      <c r="AG26" s="112"/>
      <c r="AH26" s="112"/>
      <c r="AI26" s="112"/>
      <c r="AJ26" s="112"/>
      <c r="AK26" s="112"/>
      <c r="AL26" s="107">
        <f t="shared" si="6"/>
        <v>68.739419605360709</v>
      </c>
      <c r="AM26" s="110">
        <f t="shared" si="0"/>
        <v>169.16937558470698</v>
      </c>
      <c r="AN26" s="110">
        <f t="shared" si="7"/>
        <v>1150.9205021223827</v>
      </c>
      <c r="AP26" s="112">
        <f t="shared" si="8"/>
        <v>5.1091536159801301</v>
      </c>
      <c r="AQ26" s="112">
        <f t="shared" si="14"/>
        <v>2.7503999999999995</v>
      </c>
      <c r="AR26" s="112">
        <f t="shared" si="9"/>
        <v>259.43146694476883</v>
      </c>
      <c r="AS26" s="112">
        <f t="shared" si="10"/>
        <v>221.25612058882709</v>
      </c>
      <c r="AT26" s="112">
        <f t="shared" si="19"/>
        <v>243.1820825364708</v>
      </c>
    </row>
    <row r="27" spans="1:46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J27" s="107">
        <f t="shared" si="15"/>
        <v>1150.9205021223827</v>
      </c>
      <c r="K27" s="107">
        <v>0.04</v>
      </c>
      <c r="L27" s="107">
        <f t="shared" si="1"/>
        <v>86.855611471662215</v>
      </c>
      <c r="M27" s="107">
        <f t="shared" si="2"/>
        <v>106.65771047668086</v>
      </c>
      <c r="N27" s="107">
        <f t="shared" si="21"/>
        <v>46.036820084895311</v>
      </c>
      <c r="O27" s="107">
        <f t="shared" si="12"/>
        <v>8.0421862473761294</v>
      </c>
      <c r="P27" s="107"/>
      <c r="Q27" s="107"/>
      <c r="R27" s="107"/>
      <c r="S27" s="112"/>
      <c r="T27" s="112"/>
      <c r="U27" s="107">
        <f t="shared" si="3"/>
        <v>247.59232828061451</v>
      </c>
      <c r="V27" s="112"/>
      <c r="W27" s="107">
        <v>9</v>
      </c>
      <c r="X27" s="112"/>
      <c r="Y27" s="107">
        <v>7</v>
      </c>
      <c r="Z27" s="107">
        <f t="shared" si="20"/>
        <v>18.336184644017582</v>
      </c>
      <c r="AA27" s="107">
        <v>4.08</v>
      </c>
      <c r="AB27" s="107">
        <v>10.9</v>
      </c>
      <c r="AC27" s="107">
        <v>6.4</v>
      </c>
      <c r="AD27" s="107">
        <f t="shared" si="22"/>
        <v>8.3980879357484852</v>
      </c>
      <c r="AE27" s="107">
        <f t="shared" si="22"/>
        <v>6.1120615480058582</v>
      </c>
      <c r="AF27" s="112"/>
      <c r="AG27" s="112"/>
      <c r="AH27" s="112"/>
      <c r="AI27" s="112"/>
      <c r="AJ27" s="112"/>
      <c r="AK27" s="112"/>
      <c r="AL27" s="107">
        <f t="shared" si="6"/>
        <v>70.226334127771921</v>
      </c>
      <c r="AM27" s="110">
        <f t="shared" si="0"/>
        <v>177.36599415284257</v>
      </c>
      <c r="AN27" s="110">
        <f t="shared" si="7"/>
        <v>1328.2864962752253</v>
      </c>
      <c r="AP27" s="112">
        <f t="shared" si="8"/>
        <v>5.211336688299733</v>
      </c>
      <c r="AQ27" s="112">
        <f t="shared" si="14"/>
        <v>2.7503999999999995</v>
      </c>
      <c r="AR27" s="112">
        <f t="shared" si="9"/>
        <v>269.83143297196398</v>
      </c>
      <c r="AS27" s="112">
        <f t="shared" si="10"/>
        <v>228.43164300060366</v>
      </c>
      <c r="AT27" s="112">
        <f t="shared" si="19"/>
        <v>252.90936583792964</v>
      </c>
    </row>
    <row r="28" spans="1:46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t="s">
        <v>135</v>
      </c>
      <c r="J28" s="107">
        <f t="shared" si="15"/>
        <v>1328.2864962752253</v>
      </c>
      <c r="K28" s="107">
        <v>0.02</v>
      </c>
      <c r="L28" s="112"/>
      <c r="M28" s="112"/>
      <c r="N28" s="107">
        <f t="shared" si="21"/>
        <v>26.565729925504506</v>
      </c>
      <c r="O28" s="107">
        <f t="shared" si="12"/>
        <v>8.2030299723236517</v>
      </c>
      <c r="P28" s="178">
        <f>個案背景設定!E3*0.7</f>
        <v>24.448956000000003</v>
      </c>
      <c r="Q28" s="109">
        <f>個案背景設定!E4*0.7</f>
        <v>20.391923999999996</v>
      </c>
      <c r="R28" s="109">
        <f>PMT(0.01/12,20*12,-AR27,,1)*12</f>
        <v>14.878873722013452</v>
      </c>
      <c r="S28" s="109">
        <f>PMT(0.01/12,20*12,-AS27,,1)*12</f>
        <v>12.596032763429685</v>
      </c>
      <c r="T28" s="107">
        <f>AT27</f>
        <v>252.90936583792964</v>
      </c>
      <c r="U28" s="107">
        <f t="shared" si="3"/>
        <v>359.99391222120096</v>
      </c>
      <c r="V28" s="112"/>
      <c r="W28" s="107"/>
      <c r="X28" s="112"/>
      <c r="Y28" s="107"/>
      <c r="Z28" s="107"/>
      <c r="AA28" s="107"/>
      <c r="AB28" s="112"/>
      <c r="AC28" s="107">
        <v>4.2</v>
      </c>
      <c r="AD28" s="112"/>
      <c r="AE28" s="112"/>
      <c r="AF28" s="112"/>
      <c r="AG28" s="112"/>
      <c r="AH28" s="112"/>
      <c r="AI28" s="107">
        <v>118.12363160146052</v>
      </c>
      <c r="AJ28" s="112"/>
      <c r="AK28" s="107"/>
      <c r="AL28" s="107">
        <f t="shared" si="6"/>
        <v>122.32363160146052</v>
      </c>
      <c r="AM28" s="110">
        <f t="shared" si="0"/>
        <v>237.67028061974042</v>
      </c>
      <c r="AN28" s="110">
        <f t="shared" si="7"/>
        <v>1565.9567768949657</v>
      </c>
    </row>
    <row r="29" spans="1:46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J29" s="107">
        <f t="shared" si="15"/>
        <v>1565.9567768949657</v>
      </c>
      <c r="K29" s="107">
        <v>0.02</v>
      </c>
      <c r="L29" s="112"/>
      <c r="M29" s="112"/>
      <c r="N29" s="107">
        <f t="shared" si="21"/>
        <v>31.319135537899317</v>
      </c>
      <c r="O29" s="107">
        <f t="shared" si="12"/>
        <v>8.3670905717701256</v>
      </c>
      <c r="P29" s="112">
        <f>P28*(1+$B$3)</f>
        <v>24.937935120000002</v>
      </c>
      <c r="Q29" s="112">
        <f>Q28*(1+$B$3)</f>
        <v>20.799762479999995</v>
      </c>
      <c r="R29" s="107">
        <f>R28</f>
        <v>14.878873722013452</v>
      </c>
      <c r="S29" s="112">
        <f>S28</f>
        <v>12.596032763429685</v>
      </c>
      <c r="T29" s="112"/>
      <c r="U29" s="107">
        <f t="shared" si="3"/>
        <v>112.89883019511258</v>
      </c>
      <c r="V29" s="112"/>
      <c r="W29" s="107"/>
      <c r="X29" s="112"/>
      <c r="Y29" s="107"/>
      <c r="Z29" s="112"/>
      <c r="AA29" s="112"/>
      <c r="AB29" s="112"/>
      <c r="AC29" s="107">
        <v>4.2</v>
      </c>
      <c r="AD29" s="112"/>
      <c r="AE29" s="112"/>
      <c r="AF29" s="112"/>
      <c r="AG29" s="112"/>
      <c r="AH29" s="112"/>
      <c r="AI29" s="107">
        <f>AI28*(1+$B$3)</f>
        <v>120.48610423348973</v>
      </c>
      <c r="AJ29" s="112"/>
      <c r="AK29" s="112"/>
      <c r="AL29" s="107">
        <f t="shared" si="6"/>
        <v>124.68610423348973</v>
      </c>
      <c r="AM29" s="110">
        <f t="shared" si="0"/>
        <v>-11.787274038377149</v>
      </c>
      <c r="AN29" s="110">
        <f t="shared" si="7"/>
        <v>1554.1695028565887</v>
      </c>
    </row>
    <row r="30" spans="1:46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J30" s="107">
        <f t="shared" si="15"/>
        <v>1554.1695028565887</v>
      </c>
      <c r="K30" s="107">
        <v>0.02</v>
      </c>
      <c r="L30" s="112"/>
      <c r="M30" s="112"/>
      <c r="N30" s="107">
        <f t="shared" si="21"/>
        <v>31.083390057131773</v>
      </c>
      <c r="O30" s="107">
        <f t="shared" si="12"/>
        <v>8.5344323832055284</v>
      </c>
      <c r="P30" s="112">
        <f t="shared" si="12"/>
        <v>25.436693822400002</v>
      </c>
      <c r="Q30" s="112">
        <f t="shared" si="12"/>
        <v>21.215757729599996</v>
      </c>
      <c r="R30" s="107">
        <f t="shared" ref="R30:S45" si="23">R29</f>
        <v>14.878873722013452</v>
      </c>
      <c r="S30" s="112">
        <f t="shared" si="23"/>
        <v>12.596032763429685</v>
      </c>
      <c r="T30" s="112"/>
      <c r="U30" s="107">
        <f t="shared" si="3"/>
        <v>113.74518047778045</v>
      </c>
      <c r="V30" s="112"/>
      <c r="W30" s="107"/>
      <c r="X30" s="112"/>
      <c r="Y30" s="107"/>
      <c r="Z30" s="112"/>
      <c r="AA30" s="112"/>
      <c r="AB30" s="112"/>
      <c r="AC30" s="107">
        <v>4.2</v>
      </c>
      <c r="AD30" s="112"/>
      <c r="AE30" s="112"/>
      <c r="AF30" s="112"/>
      <c r="AG30" s="112"/>
      <c r="AH30" s="112"/>
      <c r="AI30" s="107">
        <f>AI29*(1+$B$3)</f>
        <v>122.89582631815952</v>
      </c>
      <c r="AJ30" s="112"/>
      <c r="AK30" s="112"/>
      <c r="AL30" s="107">
        <f t="shared" si="6"/>
        <v>127.09582631815952</v>
      </c>
      <c r="AM30" s="110">
        <f t="shared" si="0"/>
        <v>-13.350645840379073</v>
      </c>
      <c r="AN30" s="110">
        <f t="shared" si="7"/>
        <v>1540.8188570162097</v>
      </c>
    </row>
    <row r="31" spans="1:46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J31" s="107">
        <f t="shared" si="15"/>
        <v>1540.8188570162097</v>
      </c>
      <c r="K31" s="107">
        <v>0.02</v>
      </c>
      <c r="L31" s="112"/>
      <c r="M31" s="112"/>
      <c r="N31" s="107">
        <f t="shared" si="21"/>
        <v>30.816377140324196</v>
      </c>
      <c r="O31" s="107">
        <f t="shared" ref="O31:Q46" si="24">O30*(1+$B$3)</f>
        <v>8.7051210308696394</v>
      </c>
      <c r="P31" s="112">
        <f t="shared" si="24"/>
        <v>25.945427698848004</v>
      </c>
      <c r="Q31" s="112">
        <f t="shared" si="24"/>
        <v>21.640072884191998</v>
      </c>
      <c r="R31" s="107">
        <f t="shared" si="23"/>
        <v>14.878873722013452</v>
      </c>
      <c r="S31" s="112">
        <f t="shared" si="23"/>
        <v>12.596032763429685</v>
      </c>
      <c r="T31" s="112"/>
      <c r="U31" s="107">
        <f t="shared" si="3"/>
        <v>114.58190523967697</v>
      </c>
      <c r="V31" s="112"/>
      <c r="W31" s="107"/>
      <c r="X31" s="112"/>
      <c r="Y31" s="107"/>
      <c r="Z31" s="112"/>
      <c r="AA31" s="112"/>
      <c r="AB31" s="112"/>
      <c r="AC31" s="107">
        <v>4.2</v>
      </c>
      <c r="AD31" s="112"/>
      <c r="AE31" s="112"/>
      <c r="AF31" s="112"/>
      <c r="AG31" s="112"/>
      <c r="AH31" s="112"/>
      <c r="AI31" s="107">
        <f t="shared" ref="AI31:AI53" si="25">AI30*(1+$B$3)</f>
        <v>125.35374284452271</v>
      </c>
      <c r="AJ31" s="112"/>
      <c r="AK31" s="112"/>
      <c r="AL31" s="107">
        <f t="shared" si="6"/>
        <v>129.5537428445227</v>
      </c>
      <c r="AM31" s="110">
        <f t="shared" si="0"/>
        <v>-14.971837604845732</v>
      </c>
      <c r="AN31" s="110">
        <f t="shared" si="7"/>
        <v>1525.847019411364</v>
      </c>
    </row>
    <row r="32" spans="1:46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J32" s="107">
        <f t="shared" si="15"/>
        <v>1525.847019411364</v>
      </c>
      <c r="K32" s="107">
        <v>0.02</v>
      </c>
      <c r="L32" s="112"/>
      <c r="M32" s="112"/>
      <c r="N32" s="107">
        <f t="shared" si="21"/>
        <v>30.516940388227283</v>
      </c>
      <c r="O32" s="107">
        <f t="shared" si="24"/>
        <v>8.8792234514870323</v>
      </c>
      <c r="P32" s="112">
        <f t="shared" si="24"/>
        <v>26.464336252824964</v>
      </c>
      <c r="Q32" s="112">
        <f t="shared" si="24"/>
        <v>22.072874341875838</v>
      </c>
      <c r="R32" s="107">
        <f t="shared" si="23"/>
        <v>14.878873722013452</v>
      </c>
      <c r="S32" s="112">
        <f t="shared" si="23"/>
        <v>12.596032763429685</v>
      </c>
      <c r="T32" s="112"/>
      <c r="U32" s="107">
        <f t="shared" si="3"/>
        <v>115.40828091985827</v>
      </c>
      <c r="V32" s="112"/>
      <c r="W32" s="107"/>
      <c r="X32" s="112"/>
      <c r="Y32" s="107"/>
      <c r="Z32" s="112"/>
      <c r="AA32" s="112"/>
      <c r="AB32" s="112"/>
      <c r="AC32" s="107">
        <v>4.2</v>
      </c>
      <c r="AD32" s="112"/>
      <c r="AE32" s="112"/>
      <c r="AF32" s="112"/>
      <c r="AG32" s="112"/>
      <c r="AH32" s="112"/>
      <c r="AI32" s="107">
        <f t="shared" si="25"/>
        <v>127.86081770141317</v>
      </c>
      <c r="AJ32" s="112"/>
      <c r="AK32" s="112"/>
      <c r="AL32" s="107">
        <f t="shared" si="6"/>
        <v>132.06081770141316</v>
      </c>
      <c r="AM32" s="110">
        <f t="shared" si="0"/>
        <v>-16.652536781554886</v>
      </c>
      <c r="AN32" s="110">
        <f t="shared" si="7"/>
        <v>1509.194482629809</v>
      </c>
    </row>
    <row r="33" spans="4:40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J33" s="107">
        <f t="shared" si="15"/>
        <v>1509.194482629809</v>
      </c>
      <c r="K33" s="107">
        <v>0.02</v>
      </c>
      <c r="L33" s="112"/>
      <c r="M33" s="112"/>
      <c r="N33" s="107">
        <f t="shared" si="21"/>
        <v>30.183889652596182</v>
      </c>
      <c r="O33" s="107">
        <f t="shared" si="24"/>
        <v>9.0568079205167731</v>
      </c>
      <c r="P33" s="112">
        <f t="shared" si="24"/>
        <v>26.993622977881465</v>
      </c>
      <c r="Q33" s="112">
        <f t="shared" si="24"/>
        <v>22.514331828713356</v>
      </c>
      <c r="R33" s="107">
        <f t="shared" si="23"/>
        <v>14.878873722013452</v>
      </c>
      <c r="S33" s="112">
        <f t="shared" si="23"/>
        <v>12.596032763429685</v>
      </c>
      <c r="T33" s="112"/>
      <c r="U33" s="107">
        <f t="shared" si="3"/>
        <v>116.22355886515092</v>
      </c>
      <c r="V33" s="112"/>
      <c r="W33" s="107"/>
      <c r="X33" s="112"/>
      <c r="Y33" s="107"/>
      <c r="Z33" s="112"/>
      <c r="AA33" s="112"/>
      <c r="AB33" s="112"/>
      <c r="AC33" s="107">
        <v>4.2</v>
      </c>
      <c r="AD33" s="112"/>
      <c r="AE33" s="112"/>
      <c r="AF33" s="112"/>
      <c r="AG33" s="112"/>
      <c r="AH33" s="112"/>
      <c r="AI33" s="107">
        <f t="shared" si="25"/>
        <v>130.41803405544144</v>
      </c>
      <c r="AJ33" s="112"/>
      <c r="AK33" s="112"/>
      <c r="AL33" s="107">
        <f t="shared" si="6"/>
        <v>134.61803405544143</v>
      </c>
      <c r="AM33" s="110">
        <f t="shared" si="0"/>
        <v>-18.394475190290507</v>
      </c>
      <c r="AN33" s="110">
        <f t="shared" si="7"/>
        <v>1490.8000074395186</v>
      </c>
    </row>
    <row r="34" spans="4:40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J34" s="107">
        <f t="shared" si="15"/>
        <v>1490.8000074395186</v>
      </c>
      <c r="K34" s="107">
        <v>0.02</v>
      </c>
      <c r="L34" s="112"/>
      <c r="M34" s="112"/>
      <c r="N34" s="107">
        <f t="shared" si="21"/>
        <v>29.816000148790373</v>
      </c>
      <c r="O34" s="107">
        <f t="shared" si="24"/>
        <v>9.237944078927109</v>
      </c>
      <c r="P34" s="112">
        <f t="shared" si="24"/>
        <v>27.533495437439093</v>
      </c>
      <c r="Q34" s="112">
        <f t="shared" si="24"/>
        <v>22.964618465287625</v>
      </c>
      <c r="R34" s="107">
        <f t="shared" si="23"/>
        <v>14.878873722013452</v>
      </c>
      <c r="S34" s="112">
        <f t="shared" si="23"/>
        <v>12.596032763429685</v>
      </c>
      <c r="T34" s="112"/>
      <c r="U34" s="107">
        <f t="shared" si="3"/>
        <v>117.02696461588735</v>
      </c>
      <c r="V34" s="112"/>
      <c r="W34" s="107"/>
      <c r="X34" s="112"/>
      <c r="Y34" s="107"/>
      <c r="Z34" s="112"/>
      <c r="AA34" s="112"/>
      <c r="AB34" s="112"/>
      <c r="AC34" s="107">
        <v>4.2</v>
      </c>
      <c r="AD34" s="112"/>
      <c r="AE34" s="112"/>
      <c r="AF34" s="112"/>
      <c r="AG34" s="112"/>
      <c r="AH34" s="112"/>
      <c r="AI34" s="107">
        <f t="shared" si="25"/>
        <v>133.02639473655026</v>
      </c>
      <c r="AJ34" s="112"/>
      <c r="AK34" s="112"/>
      <c r="AL34" s="107">
        <f t="shared" si="6"/>
        <v>137.22639473655025</v>
      </c>
      <c r="AM34" s="110">
        <f t="shared" si="0"/>
        <v>-20.199430120662896</v>
      </c>
      <c r="AN34" s="110">
        <f t="shared" si="7"/>
        <v>1470.6005773188558</v>
      </c>
    </row>
    <row r="35" spans="4:40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J35" s="107">
        <f t="shared" si="15"/>
        <v>1470.6005773188558</v>
      </c>
      <c r="K35" s="107">
        <v>0.02</v>
      </c>
      <c r="L35" s="112"/>
      <c r="M35" s="112"/>
      <c r="N35" s="107">
        <f t="shared" si="21"/>
        <v>29.412011546377116</v>
      </c>
      <c r="O35" s="107">
        <f t="shared" si="24"/>
        <v>9.4227029605056511</v>
      </c>
      <c r="P35" s="112">
        <f t="shared" si="24"/>
        <v>28.084165346187877</v>
      </c>
      <c r="Q35" s="112">
        <f t="shared" si="24"/>
        <v>23.423910834593379</v>
      </c>
      <c r="R35" s="107">
        <f t="shared" si="23"/>
        <v>14.878873722013452</v>
      </c>
      <c r="S35" s="112">
        <f t="shared" si="23"/>
        <v>12.596032763429685</v>
      </c>
      <c r="T35" s="112"/>
      <c r="U35" s="107">
        <f t="shared" si="3"/>
        <v>117.81769717310718</v>
      </c>
      <c r="V35" s="112"/>
      <c r="W35" s="107"/>
      <c r="X35" s="112"/>
      <c r="Y35" s="107"/>
      <c r="Z35" s="112"/>
      <c r="AA35" s="112"/>
      <c r="AB35" s="112"/>
      <c r="AC35" s="107">
        <v>4.2</v>
      </c>
      <c r="AD35" s="112"/>
      <c r="AE35" s="112"/>
      <c r="AF35" s="112"/>
      <c r="AG35" s="112"/>
      <c r="AH35" s="112"/>
      <c r="AI35" s="107">
        <f t="shared" si="25"/>
        <v>135.68692263128128</v>
      </c>
      <c r="AJ35" s="112"/>
      <c r="AK35" s="112"/>
      <c r="AL35" s="107">
        <f t="shared" si="6"/>
        <v>139.88692263128127</v>
      </c>
      <c r="AM35" s="110">
        <f t="shared" si="0"/>
        <v>-22.069225458174088</v>
      </c>
      <c r="AN35" s="110">
        <f t="shared" si="7"/>
        <v>1448.5313518606818</v>
      </c>
    </row>
    <row r="36" spans="4:40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J36" s="107">
        <f t="shared" si="15"/>
        <v>1448.5313518606818</v>
      </c>
      <c r="K36" s="107">
        <v>0.02</v>
      </c>
      <c r="L36" s="112"/>
      <c r="M36" s="112"/>
      <c r="N36" s="107">
        <f t="shared" si="21"/>
        <v>28.970627037213635</v>
      </c>
      <c r="O36" s="107">
        <f t="shared" si="24"/>
        <v>9.6111570197157636</v>
      </c>
      <c r="P36" s="112">
        <f t="shared" si="24"/>
        <v>28.645848653111635</v>
      </c>
      <c r="Q36" s="112">
        <f t="shared" si="24"/>
        <v>23.892389051285246</v>
      </c>
      <c r="R36" s="107">
        <f t="shared" si="23"/>
        <v>14.878873722013452</v>
      </c>
      <c r="S36" s="112">
        <f t="shared" si="23"/>
        <v>12.596032763429685</v>
      </c>
      <c r="T36" s="112"/>
      <c r="U36" s="107">
        <f t="shared" si="3"/>
        <v>118.59492824676943</v>
      </c>
      <c r="V36" s="112"/>
      <c r="W36" s="107"/>
      <c r="X36" s="112"/>
      <c r="Y36" s="107"/>
      <c r="Z36" s="112"/>
      <c r="AA36" s="112"/>
      <c r="AB36" s="112"/>
      <c r="AC36" s="107">
        <v>4.2</v>
      </c>
      <c r="AD36" s="112"/>
      <c r="AE36" s="112"/>
      <c r="AF36" s="112"/>
      <c r="AG36" s="112"/>
      <c r="AH36" s="112"/>
      <c r="AI36" s="107">
        <f t="shared" si="25"/>
        <v>138.4006610839069</v>
      </c>
      <c r="AJ36" s="112"/>
      <c r="AK36" s="112"/>
      <c r="AL36" s="107">
        <f t="shared" si="6"/>
        <v>142.60066108390689</v>
      </c>
      <c r="AM36" s="110">
        <f t="shared" si="0"/>
        <v>-24.005732837137458</v>
      </c>
      <c r="AN36" s="110">
        <f t="shared" si="7"/>
        <v>1424.5256190235443</v>
      </c>
    </row>
    <row r="37" spans="4:40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J37" s="107">
        <f t="shared" si="15"/>
        <v>1424.5256190235443</v>
      </c>
      <c r="K37" s="107">
        <v>0.02</v>
      </c>
      <c r="L37" s="112"/>
      <c r="M37" s="112"/>
      <c r="N37" s="107">
        <f t="shared" si="21"/>
        <v>28.490512380470886</v>
      </c>
      <c r="O37" s="107">
        <f t="shared" si="24"/>
        <v>9.8033801601100787</v>
      </c>
      <c r="P37" s="112">
        <f t="shared" si="24"/>
        <v>29.21876562617387</v>
      </c>
      <c r="Q37" s="112">
        <f t="shared" si="24"/>
        <v>24.370236832310951</v>
      </c>
      <c r="R37" s="107">
        <f t="shared" si="23"/>
        <v>14.878873722013452</v>
      </c>
      <c r="S37" s="112">
        <f t="shared" si="23"/>
        <v>12.596032763429685</v>
      </c>
      <c r="T37" s="112"/>
      <c r="U37" s="107">
        <f t="shared" si="3"/>
        <v>119.35780148450893</v>
      </c>
      <c r="V37" s="112"/>
      <c r="W37" s="107"/>
      <c r="X37" s="112"/>
      <c r="Y37" s="107"/>
      <c r="Z37" s="112"/>
      <c r="AA37" s="112"/>
      <c r="AB37" s="112"/>
      <c r="AC37" s="107">
        <v>4.2</v>
      </c>
      <c r="AD37" s="112"/>
      <c r="AE37" s="112"/>
      <c r="AF37" s="112"/>
      <c r="AG37" s="112"/>
      <c r="AH37" s="112"/>
      <c r="AI37" s="107">
        <f t="shared" si="25"/>
        <v>141.16867430558503</v>
      </c>
      <c r="AJ37" s="112"/>
      <c r="AK37" s="112"/>
      <c r="AL37" s="107">
        <f t="shared" si="6"/>
        <v>145.36867430558502</v>
      </c>
      <c r="AM37" s="110">
        <f t="shared" si="0"/>
        <v>-26.010872821076092</v>
      </c>
      <c r="AN37" s="110">
        <f t="shared" si="7"/>
        <v>1398.5147462024681</v>
      </c>
    </row>
    <row r="38" spans="4:40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J38" s="107">
        <f t="shared" si="15"/>
        <v>1398.5147462024681</v>
      </c>
      <c r="K38" s="107">
        <v>0.02</v>
      </c>
      <c r="L38" s="112"/>
      <c r="M38" s="112"/>
      <c r="N38" s="107">
        <f t="shared" si="21"/>
        <v>27.970294924049362</v>
      </c>
      <c r="O38" s="107">
        <f t="shared" si="24"/>
        <v>9.9994477633122809</v>
      </c>
      <c r="P38" s="112">
        <f t="shared" si="24"/>
        <v>29.803140938697346</v>
      </c>
      <c r="Q38" s="112">
        <f t="shared" si="24"/>
        <v>24.85764156895717</v>
      </c>
      <c r="R38" s="107">
        <f t="shared" si="23"/>
        <v>14.878873722013452</v>
      </c>
      <c r="S38" s="112">
        <f t="shared" si="23"/>
        <v>12.596032763429685</v>
      </c>
      <c r="T38" s="112"/>
      <c r="U38" s="107">
        <f t="shared" si="3"/>
        <v>120.1054316804593</v>
      </c>
      <c r="V38" s="112"/>
      <c r="W38" s="107"/>
      <c r="X38" s="112"/>
      <c r="Y38" s="107"/>
      <c r="Z38" s="112"/>
      <c r="AA38" s="112"/>
      <c r="AB38" s="112"/>
      <c r="AC38" s="107">
        <v>4.2</v>
      </c>
      <c r="AD38" s="112"/>
      <c r="AE38" s="112"/>
      <c r="AF38" s="112"/>
      <c r="AG38" s="112"/>
      <c r="AH38" s="112"/>
      <c r="AI38" s="107">
        <f t="shared" si="25"/>
        <v>143.99204779169673</v>
      </c>
      <c r="AJ38" s="112"/>
      <c r="AK38" s="112"/>
      <c r="AL38" s="107">
        <f t="shared" si="6"/>
        <v>148.19204779169672</v>
      </c>
      <c r="AM38" s="110">
        <f t="shared" si="0"/>
        <v>-28.086616111237419</v>
      </c>
      <c r="AN38" s="110">
        <f t="shared" si="7"/>
        <v>1370.4281300912307</v>
      </c>
    </row>
    <row r="39" spans="4:40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J39" s="107">
        <f t="shared" si="15"/>
        <v>1370.4281300912307</v>
      </c>
      <c r="K39" s="107">
        <v>0.02</v>
      </c>
      <c r="L39" s="112"/>
      <c r="M39" s="112"/>
      <c r="N39" s="107">
        <f t="shared" si="21"/>
        <v>27.408562601824617</v>
      </c>
      <c r="O39" s="107">
        <f t="shared" si="24"/>
        <v>10.199436718578527</v>
      </c>
      <c r="P39" s="112">
        <f t="shared" si="24"/>
        <v>30.399203757471295</v>
      </c>
      <c r="Q39" s="112">
        <f t="shared" si="24"/>
        <v>25.354794400336313</v>
      </c>
      <c r="R39" s="107">
        <f t="shared" si="23"/>
        <v>14.878873722013452</v>
      </c>
      <c r="S39" s="112">
        <f t="shared" si="23"/>
        <v>12.596032763429685</v>
      </c>
      <c r="T39" s="112"/>
      <c r="U39" s="107">
        <f t="shared" si="3"/>
        <v>120.8369039636539</v>
      </c>
      <c r="V39" s="112"/>
      <c r="W39" s="107"/>
      <c r="X39" s="112"/>
      <c r="Y39" s="107"/>
      <c r="Z39" s="112"/>
      <c r="AA39" s="112"/>
      <c r="AB39" s="112"/>
      <c r="AC39" s="112"/>
      <c r="AD39" s="112"/>
      <c r="AE39" s="112"/>
      <c r="AF39" s="112"/>
      <c r="AG39" s="112"/>
      <c r="AH39" s="112"/>
      <c r="AI39" s="107">
        <f t="shared" si="25"/>
        <v>146.87188874753068</v>
      </c>
      <c r="AJ39" s="112"/>
      <c r="AK39" s="112"/>
      <c r="AL39" s="107">
        <f t="shared" si="6"/>
        <v>146.87188874753068</v>
      </c>
      <c r="AM39" s="110">
        <f t="shared" si="0"/>
        <v>-26.03498478387678</v>
      </c>
      <c r="AN39" s="110">
        <f t="shared" si="7"/>
        <v>1344.393145307354</v>
      </c>
    </row>
    <row r="40" spans="4:40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J40" s="107">
        <f t="shared" si="15"/>
        <v>1344.393145307354</v>
      </c>
      <c r="K40" s="107">
        <v>0.02</v>
      </c>
      <c r="L40" s="112"/>
      <c r="M40" s="112"/>
      <c r="N40" s="107">
        <f t="shared" si="21"/>
        <v>26.887862906147081</v>
      </c>
      <c r="O40" s="107">
        <f t="shared" si="24"/>
        <v>10.403425452950097</v>
      </c>
      <c r="P40" s="112">
        <f t="shared" si="24"/>
        <v>31.007187832620723</v>
      </c>
      <c r="Q40" s="112">
        <f t="shared" si="24"/>
        <v>25.861890288343041</v>
      </c>
      <c r="R40" s="107">
        <f t="shared" si="23"/>
        <v>14.878873722013452</v>
      </c>
      <c r="S40" s="112">
        <f t="shared" si="23"/>
        <v>12.596032763429685</v>
      </c>
      <c r="T40" s="112"/>
      <c r="U40" s="107">
        <f t="shared" si="3"/>
        <v>121.63527296550407</v>
      </c>
      <c r="V40" s="112"/>
      <c r="W40" s="107"/>
      <c r="X40" s="112"/>
      <c r="Y40" s="107"/>
      <c r="Z40" s="112"/>
      <c r="AA40" s="112"/>
      <c r="AB40" s="112"/>
      <c r="AC40" s="112"/>
      <c r="AD40" s="112"/>
      <c r="AE40" s="112"/>
      <c r="AF40" s="112"/>
      <c r="AG40" s="112"/>
      <c r="AH40" s="112"/>
      <c r="AI40" s="107">
        <f t="shared" si="25"/>
        <v>149.80932652248129</v>
      </c>
      <c r="AJ40" s="112"/>
      <c r="AK40" s="112"/>
      <c r="AL40" s="107">
        <f t="shared" si="6"/>
        <v>149.80932652248129</v>
      </c>
      <c r="AM40" s="110">
        <f t="shared" si="0"/>
        <v>-28.174053556977213</v>
      </c>
      <c r="AN40" s="110">
        <f t="shared" si="7"/>
        <v>1316.2190917503767</v>
      </c>
    </row>
    <row r="41" spans="4:40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J41" s="107">
        <f t="shared" si="15"/>
        <v>1316.2190917503767</v>
      </c>
      <c r="K41" s="107">
        <v>0.02</v>
      </c>
      <c r="L41" s="112"/>
      <c r="M41" s="112"/>
      <c r="N41" s="107">
        <f t="shared" si="21"/>
        <v>26.324381835007536</v>
      </c>
      <c r="O41" s="107">
        <f t="shared" si="24"/>
        <v>10.611493962009099</v>
      </c>
      <c r="P41" s="112">
        <f t="shared" si="24"/>
        <v>31.627331589273137</v>
      </c>
      <c r="Q41" s="112">
        <f t="shared" si="24"/>
        <v>26.379128094109902</v>
      </c>
      <c r="R41" s="107">
        <f t="shared" si="23"/>
        <v>14.878873722013452</v>
      </c>
      <c r="S41" s="112">
        <f t="shared" si="23"/>
        <v>12.596032763429685</v>
      </c>
      <c r="T41" s="112"/>
      <c r="U41" s="107">
        <f t="shared" si="3"/>
        <v>122.41724196584282</v>
      </c>
      <c r="V41" s="112"/>
      <c r="W41" s="107"/>
      <c r="X41" s="112"/>
      <c r="Y41" s="107"/>
      <c r="Z41" s="112"/>
      <c r="AA41" s="112"/>
      <c r="AB41" s="112"/>
      <c r="AC41" s="112"/>
      <c r="AD41" s="112"/>
      <c r="AE41" s="112"/>
      <c r="AF41" s="112"/>
      <c r="AG41" s="112"/>
      <c r="AH41" s="112"/>
      <c r="AI41" s="107">
        <f t="shared" si="25"/>
        <v>152.80551305293091</v>
      </c>
      <c r="AJ41" s="112"/>
      <c r="AK41" s="112"/>
      <c r="AL41" s="107">
        <f t="shared" si="6"/>
        <v>152.80551305293091</v>
      </c>
      <c r="AM41" s="110">
        <f t="shared" si="0"/>
        <v>-30.388271087088086</v>
      </c>
      <c r="AN41" s="110">
        <f t="shared" si="7"/>
        <v>1285.8308206632887</v>
      </c>
    </row>
    <row r="42" spans="4:40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J42" s="107">
        <f t="shared" si="15"/>
        <v>1285.8308206632887</v>
      </c>
      <c r="K42" s="107">
        <v>0.02</v>
      </c>
      <c r="L42" s="112"/>
      <c r="M42" s="112"/>
      <c r="N42" s="107">
        <f t="shared" si="21"/>
        <v>25.716616413265776</v>
      </c>
      <c r="O42" s="107">
        <f t="shared" si="24"/>
        <v>10.823723841249281</v>
      </c>
      <c r="P42" s="112">
        <f t="shared" si="24"/>
        <v>32.259878221058599</v>
      </c>
      <c r="Q42" s="112">
        <f t="shared" si="24"/>
        <v>26.9067106559921</v>
      </c>
      <c r="R42" s="107">
        <f t="shared" si="23"/>
        <v>14.878873722013452</v>
      </c>
      <c r="S42" s="112">
        <f t="shared" si="23"/>
        <v>12.596032763429685</v>
      </c>
      <c r="T42" s="112"/>
      <c r="U42" s="107">
        <f t="shared" si="3"/>
        <v>123.1818356170089</v>
      </c>
      <c r="V42" s="112"/>
      <c r="W42" s="107"/>
      <c r="X42" s="112"/>
      <c r="Y42" s="107"/>
      <c r="Z42" s="112"/>
      <c r="AA42" s="112"/>
      <c r="AB42" s="112"/>
      <c r="AC42" s="112"/>
      <c r="AD42" s="112"/>
      <c r="AE42" s="112"/>
      <c r="AF42" s="112"/>
      <c r="AG42" s="112"/>
      <c r="AH42" s="112"/>
      <c r="AI42" s="107">
        <f t="shared" si="25"/>
        <v>155.86162331398953</v>
      </c>
      <c r="AJ42" s="112"/>
      <c r="AK42" s="112"/>
      <c r="AL42" s="107">
        <f t="shared" si="6"/>
        <v>155.86162331398953</v>
      </c>
      <c r="AM42" s="110">
        <f t="shared" si="0"/>
        <v>-32.679787696980625</v>
      </c>
      <c r="AN42" s="110">
        <f t="shared" si="7"/>
        <v>1253.1510329663081</v>
      </c>
    </row>
    <row r="43" spans="4:40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J43" s="107">
        <f t="shared" si="15"/>
        <v>1253.1510329663081</v>
      </c>
      <c r="K43" s="107">
        <v>0.02</v>
      </c>
      <c r="L43" s="112"/>
      <c r="M43" s="112"/>
      <c r="N43" s="107">
        <f t="shared" si="21"/>
        <v>25.063020659326163</v>
      </c>
      <c r="O43" s="107">
        <f t="shared" si="24"/>
        <v>11.040198318074268</v>
      </c>
      <c r="P43" s="112">
        <f t="shared" si="24"/>
        <v>32.905075785479774</v>
      </c>
      <c r="Q43" s="112">
        <f t="shared" si="24"/>
        <v>27.444844869111943</v>
      </c>
      <c r="R43" s="107">
        <f t="shared" si="23"/>
        <v>14.878873722013452</v>
      </c>
      <c r="S43" s="112">
        <f t="shared" si="23"/>
        <v>12.596032763429685</v>
      </c>
      <c r="T43" s="112"/>
      <c r="U43" s="107">
        <f t="shared" si="3"/>
        <v>123.9280461174353</v>
      </c>
      <c r="V43" s="112"/>
      <c r="W43" s="107"/>
      <c r="X43" s="112"/>
      <c r="Y43" s="107"/>
      <c r="Z43" s="112"/>
      <c r="AA43" s="112"/>
      <c r="AB43" s="112"/>
      <c r="AC43" s="112"/>
      <c r="AD43" s="112"/>
      <c r="AE43" s="112"/>
      <c r="AF43" s="112"/>
      <c r="AG43" s="112"/>
      <c r="AH43" s="112"/>
      <c r="AI43" s="107">
        <f t="shared" si="25"/>
        <v>158.97885578026933</v>
      </c>
      <c r="AJ43" s="112"/>
      <c r="AK43" s="112"/>
      <c r="AL43" s="107">
        <f t="shared" si="6"/>
        <v>158.97885578026933</v>
      </c>
      <c r="AM43" s="110">
        <f t="shared" si="0"/>
        <v>-35.050809662834027</v>
      </c>
      <c r="AN43" s="110">
        <f t="shared" si="7"/>
        <v>1218.100223303474</v>
      </c>
    </row>
    <row r="44" spans="4:40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J44" s="107">
        <f t="shared" si="15"/>
        <v>1218.100223303474</v>
      </c>
      <c r="K44" s="107">
        <v>0.02</v>
      </c>
      <c r="L44" s="112"/>
      <c r="M44" s="112"/>
      <c r="N44" s="107">
        <f t="shared" si="21"/>
        <v>24.362004466069479</v>
      </c>
      <c r="O44" s="107">
        <f t="shared" si="24"/>
        <v>11.261002284435753</v>
      </c>
      <c r="P44" s="112">
        <f t="shared" si="24"/>
        <v>33.56317730118937</v>
      </c>
      <c r="Q44" s="112">
        <f t="shared" si="24"/>
        <v>27.993741766494182</v>
      </c>
      <c r="R44" s="107">
        <f t="shared" si="23"/>
        <v>14.878873722013452</v>
      </c>
      <c r="S44" s="112">
        <f t="shared" si="23"/>
        <v>12.596032763429685</v>
      </c>
      <c r="T44" s="112"/>
      <c r="U44" s="107">
        <f t="shared" si="3"/>
        <v>124.65483230363192</v>
      </c>
      <c r="V44" s="112"/>
      <c r="W44" s="107"/>
      <c r="X44" s="112"/>
      <c r="Y44" s="107"/>
      <c r="Z44" s="112"/>
      <c r="AA44" s="112"/>
      <c r="AB44" s="112"/>
      <c r="AC44" s="112"/>
      <c r="AD44" s="112"/>
      <c r="AE44" s="112"/>
      <c r="AF44" s="112"/>
      <c r="AG44" s="112"/>
      <c r="AH44" s="112"/>
      <c r="AI44" s="107">
        <f t="shared" si="25"/>
        <v>162.15843289587471</v>
      </c>
      <c r="AJ44" s="112"/>
      <c r="AK44" s="112"/>
      <c r="AL44" s="107">
        <f t="shared" si="6"/>
        <v>162.15843289587471</v>
      </c>
      <c r="AM44" s="110">
        <f t="shared" si="0"/>
        <v>-37.50360059224279</v>
      </c>
      <c r="AN44" s="110">
        <f t="shared" si="7"/>
        <v>1180.5966227112312</v>
      </c>
    </row>
    <row r="45" spans="4:40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J45" s="107">
        <f t="shared" si="15"/>
        <v>1180.5966227112312</v>
      </c>
      <c r="K45" s="107">
        <v>0.02</v>
      </c>
      <c r="L45" s="112"/>
      <c r="M45" s="112"/>
      <c r="N45" s="107">
        <f t="shared" si="21"/>
        <v>23.611932454224625</v>
      </c>
      <c r="O45" s="107">
        <f t="shared" si="24"/>
        <v>11.486222330124468</v>
      </c>
      <c r="P45" s="112">
        <f t="shared" si="24"/>
        <v>34.234440847213158</v>
      </c>
      <c r="Q45" s="112">
        <f t="shared" si="24"/>
        <v>28.553616601824068</v>
      </c>
      <c r="R45" s="107">
        <f t="shared" si="23"/>
        <v>14.878873722013452</v>
      </c>
      <c r="S45" s="112">
        <f t="shared" si="23"/>
        <v>12.596032763429685</v>
      </c>
      <c r="T45" s="112"/>
      <c r="U45" s="107">
        <f t="shared" si="3"/>
        <v>125.36111871882946</v>
      </c>
      <c r="V45" s="112"/>
      <c r="W45" s="107"/>
      <c r="X45" s="112"/>
      <c r="Y45" s="107"/>
      <c r="Z45" s="112"/>
      <c r="AA45" s="112"/>
      <c r="AB45" s="112"/>
      <c r="AC45" s="112"/>
      <c r="AD45" s="112"/>
      <c r="AE45" s="112"/>
      <c r="AF45" s="112"/>
      <c r="AG45" s="112"/>
      <c r="AH45" s="112"/>
      <c r="AI45" s="107">
        <f t="shared" si="25"/>
        <v>165.4016015537922</v>
      </c>
      <c r="AJ45" s="112"/>
      <c r="AK45" s="112"/>
      <c r="AL45" s="107">
        <f t="shared" si="6"/>
        <v>165.4016015537922</v>
      </c>
      <c r="AM45" s="110">
        <f t="shared" si="0"/>
        <v>-40.040482834962745</v>
      </c>
      <c r="AN45" s="110">
        <f t="shared" si="7"/>
        <v>1140.5561398762684</v>
      </c>
    </row>
    <row r="46" spans="4:40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J46" s="107">
        <f t="shared" si="15"/>
        <v>1140.5561398762684</v>
      </c>
      <c r="K46" s="107">
        <v>0.02</v>
      </c>
      <c r="L46" s="112"/>
      <c r="M46" s="112"/>
      <c r="N46" s="107">
        <f t="shared" si="21"/>
        <v>22.811122797525368</v>
      </c>
      <c r="O46" s="107">
        <f t="shared" si="24"/>
        <v>11.715946776726957</v>
      </c>
      <c r="P46" s="112">
        <f t="shared" si="24"/>
        <v>34.919129664157424</v>
      </c>
      <c r="Q46" s="112">
        <f t="shared" si="24"/>
        <v>29.124688933860551</v>
      </c>
      <c r="R46" s="107">
        <f t="shared" ref="R46:S47" si="26">R45</f>
        <v>14.878873722013452</v>
      </c>
      <c r="S46" s="112">
        <f t="shared" si="26"/>
        <v>12.596032763429685</v>
      </c>
      <c r="T46" s="112"/>
      <c r="U46" s="107">
        <f t="shared" si="3"/>
        <v>126.04579465771344</v>
      </c>
      <c r="V46" s="112"/>
      <c r="W46" s="107"/>
      <c r="X46" s="112"/>
      <c r="Y46" s="107"/>
      <c r="Z46" s="112"/>
      <c r="AA46" s="112"/>
      <c r="AB46" s="112"/>
      <c r="AC46" s="112"/>
      <c r="AD46" s="112"/>
      <c r="AE46" s="112"/>
      <c r="AF46" s="112"/>
      <c r="AG46" s="112"/>
      <c r="AH46" s="112"/>
      <c r="AI46" s="107">
        <f t="shared" si="25"/>
        <v>168.70963358486804</v>
      </c>
      <c r="AJ46" s="112"/>
      <c r="AK46" s="112"/>
      <c r="AL46" s="107">
        <f t="shared" si="6"/>
        <v>168.70963358486804</v>
      </c>
      <c r="AM46" s="110">
        <f t="shared" si="0"/>
        <v>-42.6638389271546</v>
      </c>
      <c r="AN46" s="110">
        <f t="shared" si="7"/>
        <v>1097.8923009491139</v>
      </c>
    </row>
    <row r="47" spans="4:40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J47" s="107">
        <f t="shared" si="15"/>
        <v>1097.8923009491139</v>
      </c>
      <c r="K47" s="107">
        <v>0.02</v>
      </c>
      <c r="L47" s="112"/>
      <c r="M47" s="112"/>
      <c r="N47" s="107">
        <f t="shared" si="21"/>
        <v>21.957846018982277</v>
      </c>
      <c r="O47" s="107">
        <f t="shared" ref="O47:Q53" si="27">O46*(1+$B$3)</f>
        <v>11.950265712261496</v>
      </c>
      <c r="P47" s="112">
        <f t="shared" si="27"/>
        <v>35.617512257440573</v>
      </c>
      <c r="Q47" s="112">
        <f t="shared" si="27"/>
        <v>29.707182712537762</v>
      </c>
      <c r="R47" s="107">
        <f t="shared" si="26"/>
        <v>14.878873722013452</v>
      </c>
      <c r="S47" s="112">
        <f t="shared" si="26"/>
        <v>12.596032763429685</v>
      </c>
      <c r="T47" s="112"/>
      <c r="U47" s="107">
        <f t="shared" si="3"/>
        <v>126.70771318666525</v>
      </c>
      <c r="V47" s="112"/>
      <c r="W47" s="107"/>
      <c r="X47" s="112"/>
      <c r="Y47" s="107"/>
      <c r="Z47" s="112"/>
      <c r="AA47" s="112"/>
      <c r="AB47" s="112"/>
      <c r="AC47" s="112"/>
      <c r="AD47" s="112"/>
      <c r="AE47" s="112"/>
      <c r="AF47" s="112"/>
      <c r="AG47" s="112"/>
      <c r="AH47" s="112"/>
      <c r="AI47" s="107">
        <f t="shared" si="25"/>
        <v>172.0838262565654</v>
      </c>
      <c r="AJ47" s="112"/>
      <c r="AK47" s="112"/>
      <c r="AL47" s="107">
        <f t="shared" si="6"/>
        <v>172.0838262565654</v>
      </c>
      <c r="AM47" s="110">
        <f t="shared" si="0"/>
        <v>-45.376113069900157</v>
      </c>
      <c r="AN47" s="110">
        <f t="shared" si="7"/>
        <v>1052.5161878792137</v>
      </c>
    </row>
    <row r="48" spans="4:40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J48" s="107">
        <f t="shared" si="15"/>
        <v>1052.5161878792137</v>
      </c>
      <c r="K48" s="107">
        <v>0.02</v>
      </c>
      <c r="L48" s="112"/>
      <c r="M48" s="112"/>
      <c r="N48" s="107">
        <f t="shared" si="21"/>
        <v>21.050323757584273</v>
      </c>
      <c r="O48" s="107">
        <f t="shared" si="27"/>
        <v>12.189271026506725</v>
      </c>
      <c r="P48" s="112">
        <f t="shared" si="27"/>
        <v>36.329862502589386</v>
      </c>
      <c r="Q48" s="112">
        <f t="shared" si="27"/>
        <v>30.301326366788519</v>
      </c>
      <c r="R48" s="107"/>
      <c r="S48" s="112"/>
      <c r="T48" s="112"/>
      <c r="U48" s="107">
        <f t="shared" si="3"/>
        <v>99.870783653468891</v>
      </c>
      <c r="V48" s="112"/>
      <c r="W48" s="107"/>
      <c r="X48" s="112"/>
      <c r="Y48" s="107"/>
      <c r="Z48" s="112"/>
      <c r="AA48" s="112"/>
      <c r="AB48" s="112"/>
      <c r="AC48" s="112"/>
      <c r="AD48" s="112"/>
      <c r="AE48" s="112"/>
      <c r="AF48" s="112"/>
      <c r="AG48" s="112"/>
      <c r="AH48" s="112"/>
      <c r="AI48" s="107">
        <f t="shared" si="25"/>
        <v>175.5255027816967</v>
      </c>
      <c r="AJ48" s="112"/>
      <c r="AK48" s="112"/>
      <c r="AL48" s="107">
        <f t="shared" si="6"/>
        <v>175.5255027816967</v>
      </c>
      <c r="AM48" s="110">
        <f t="shared" si="0"/>
        <v>-75.654719128227811</v>
      </c>
      <c r="AN48" s="110">
        <f t="shared" si="7"/>
        <v>976.86146875098586</v>
      </c>
    </row>
    <row r="49" spans="4:40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J49" s="107">
        <f t="shared" si="15"/>
        <v>976.86146875098586</v>
      </c>
      <c r="K49" s="107">
        <v>0.02</v>
      </c>
      <c r="L49" s="112"/>
      <c r="M49" s="112"/>
      <c r="N49" s="107">
        <f t="shared" si="21"/>
        <v>19.537229375019717</v>
      </c>
      <c r="O49" s="107">
        <f t="shared" si="27"/>
        <v>12.43305644703686</v>
      </c>
      <c r="P49" s="112">
        <f t="shared" si="27"/>
        <v>37.056459752641175</v>
      </c>
      <c r="Q49" s="112">
        <f t="shared" si="27"/>
        <v>30.907352894124291</v>
      </c>
      <c r="R49" s="107"/>
      <c r="S49" s="112"/>
      <c r="T49" s="112"/>
      <c r="U49" s="107">
        <f t="shared" si="3"/>
        <v>99.934098468822029</v>
      </c>
      <c r="V49" s="112"/>
      <c r="W49" s="107"/>
      <c r="X49" s="112"/>
      <c r="Y49" s="107"/>
      <c r="Z49" s="112"/>
      <c r="AA49" s="112"/>
      <c r="AB49" s="112"/>
      <c r="AC49" s="112"/>
      <c r="AD49" s="112"/>
      <c r="AE49" s="112"/>
      <c r="AF49" s="112"/>
      <c r="AG49" s="112"/>
      <c r="AH49" s="112"/>
      <c r="AI49" s="107">
        <f t="shared" si="25"/>
        <v>179.03601283733065</v>
      </c>
      <c r="AJ49" s="112"/>
      <c r="AK49" s="112"/>
      <c r="AL49" s="107">
        <f t="shared" si="6"/>
        <v>179.03601283733065</v>
      </c>
      <c r="AM49" s="110">
        <f t="shared" si="0"/>
        <v>-79.101914368508616</v>
      </c>
      <c r="AN49" s="110">
        <f t="shared" si="7"/>
        <v>897.75955438247729</v>
      </c>
    </row>
    <row r="50" spans="4:40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J50" s="107">
        <f t="shared" si="15"/>
        <v>897.75955438247729</v>
      </c>
      <c r="K50" s="107">
        <v>0.02</v>
      </c>
      <c r="L50" s="112"/>
      <c r="M50" s="112"/>
      <c r="N50" s="107">
        <f t="shared" si="21"/>
        <v>17.955191087649546</v>
      </c>
      <c r="O50" s="107">
        <f t="shared" si="27"/>
        <v>12.681717575977597</v>
      </c>
      <c r="P50" s="112">
        <f t="shared" si="27"/>
        <v>37.797588947693995</v>
      </c>
      <c r="Q50" s="112">
        <f t="shared" si="27"/>
        <v>31.525499952006776</v>
      </c>
      <c r="R50" s="107"/>
      <c r="S50" s="112"/>
      <c r="T50" s="112"/>
      <c r="U50" s="107">
        <f t="shared" si="3"/>
        <v>99.959997563327903</v>
      </c>
      <c r="V50" s="112"/>
      <c r="W50" s="107"/>
      <c r="X50" s="112"/>
      <c r="Y50" s="107"/>
      <c r="Z50" s="112"/>
      <c r="AA50" s="112"/>
      <c r="AB50" s="112"/>
      <c r="AC50" s="112"/>
      <c r="AD50" s="112"/>
      <c r="AE50" s="112"/>
      <c r="AF50" s="112"/>
      <c r="AG50" s="112"/>
      <c r="AH50" s="112"/>
      <c r="AI50" s="107">
        <f t="shared" si="25"/>
        <v>182.61673309407726</v>
      </c>
      <c r="AJ50" s="112"/>
      <c r="AK50" s="112"/>
      <c r="AL50" s="107">
        <f t="shared" si="6"/>
        <v>182.61673309407726</v>
      </c>
      <c r="AM50" s="110">
        <f t="shared" si="0"/>
        <v>-82.656735530749359</v>
      </c>
      <c r="AN50" s="110">
        <f t="shared" si="7"/>
        <v>815.10281885172799</v>
      </c>
    </row>
    <row r="51" spans="4:40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J51" s="107">
        <f t="shared" si="15"/>
        <v>815.10281885172799</v>
      </c>
      <c r="K51" s="107">
        <v>0.02</v>
      </c>
      <c r="L51" s="112"/>
      <c r="M51" s="112"/>
      <c r="N51" s="107">
        <f t="shared" si="21"/>
        <v>16.30205637703456</v>
      </c>
      <c r="O51" s="107">
        <f t="shared" si="27"/>
        <v>12.93535192749715</v>
      </c>
      <c r="P51" s="112">
        <f t="shared" si="27"/>
        <v>38.553540726647874</v>
      </c>
      <c r="Q51" s="112">
        <f t="shared" si="27"/>
        <v>32.156009951046912</v>
      </c>
      <c r="R51" s="107"/>
      <c r="S51" s="112"/>
      <c r="T51" s="112"/>
      <c r="U51" s="107">
        <f t="shared" si="3"/>
        <v>99.946958982226505</v>
      </c>
      <c r="V51" s="112"/>
      <c r="W51" s="107"/>
      <c r="X51" s="112"/>
      <c r="Y51" s="107"/>
      <c r="Z51" s="112"/>
      <c r="AA51" s="112"/>
      <c r="AB51" s="112"/>
      <c r="AC51" s="112"/>
      <c r="AD51" s="112"/>
      <c r="AE51" s="112"/>
      <c r="AF51" s="112"/>
      <c r="AG51" s="112"/>
      <c r="AH51" s="112"/>
      <c r="AI51" s="107">
        <f t="shared" si="25"/>
        <v>186.26906775595882</v>
      </c>
      <c r="AJ51" s="112"/>
      <c r="AK51" s="112"/>
      <c r="AL51" s="107">
        <f t="shared" si="6"/>
        <v>186.26906775595882</v>
      </c>
      <c r="AM51" s="110">
        <f t="shared" si="0"/>
        <v>-86.32210877373231</v>
      </c>
      <c r="AN51" s="110">
        <f t="shared" si="7"/>
        <v>728.78071007799565</v>
      </c>
    </row>
    <row r="52" spans="4:40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J52" s="107">
        <f t="shared" si="15"/>
        <v>728.78071007799565</v>
      </c>
      <c r="K52" s="107">
        <v>0.02</v>
      </c>
      <c r="L52" s="112"/>
      <c r="M52" s="112"/>
      <c r="N52" s="107">
        <f t="shared" si="21"/>
        <v>14.575614201559913</v>
      </c>
      <c r="O52" s="107">
        <f t="shared" si="27"/>
        <v>13.194058966047093</v>
      </c>
      <c r="P52" s="112">
        <f t="shared" si="27"/>
        <v>39.324611541180829</v>
      </c>
      <c r="Q52" s="112">
        <f t="shared" si="27"/>
        <v>32.799130150067853</v>
      </c>
      <c r="R52" s="107"/>
      <c r="S52" s="112"/>
      <c r="T52" s="112"/>
      <c r="U52" s="107">
        <f t="shared" si="3"/>
        <v>99.893414858855692</v>
      </c>
      <c r="V52" s="112"/>
      <c r="W52" s="107"/>
      <c r="X52" s="112"/>
      <c r="Y52" s="107"/>
      <c r="Z52" s="112"/>
      <c r="AA52" s="112"/>
      <c r="AB52" s="112"/>
      <c r="AC52" s="112"/>
      <c r="AD52" s="112"/>
      <c r="AE52" s="112"/>
      <c r="AF52" s="112"/>
      <c r="AG52" s="112"/>
      <c r="AH52" s="112"/>
      <c r="AI52" s="107">
        <f t="shared" si="25"/>
        <v>189.99444911107798</v>
      </c>
      <c r="AJ52" s="112"/>
      <c r="AK52" s="112"/>
      <c r="AL52" s="107">
        <f t="shared" si="6"/>
        <v>189.99444911107798</v>
      </c>
      <c r="AM52" s="110">
        <f t="shared" si="0"/>
        <v>-90.101034252222291</v>
      </c>
      <c r="AN52" s="110">
        <f t="shared" si="7"/>
        <v>638.6796758257733</v>
      </c>
    </row>
    <row r="53" spans="4:40" x14ac:dyDescent="0.3">
      <c r="D53" s="94">
        <v>50</v>
      </c>
      <c r="E53" s="94">
        <v>90</v>
      </c>
      <c r="F53" s="94">
        <v>90</v>
      </c>
      <c r="G53" s="94">
        <v>63</v>
      </c>
      <c r="H53" s="94">
        <v>61</v>
      </c>
      <c r="J53" s="107">
        <f t="shared" si="15"/>
        <v>638.6796758257733</v>
      </c>
      <c r="K53" s="107">
        <v>0.02</v>
      </c>
      <c r="L53" s="112"/>
      <c r="M53" s="112"/>
      <c r="N53" s="107">
        <f t="shared" si="21"/>
        <v>12.773593516515467</v>
      </c>
      <c r="O53" s="107">
        <f t="shared" si="27"/>
        <v>13.457940145368035</v>
      </c>
      <c r="P53" s="112">
        <f t="shared" si="27"/>
        <v>40.111103772004448</v>
      </c>
      <c r="Q53" s="112">
        <f t="shared" si="27"/>
        <v>33.455112753069209</v>
      </c>
      <c r="R53" s="112"/>
      <c r="S53" s="112"/>
      <c r="T53" s="112"/>
      <c r="U53" s="107">
        <f>SUM(L53:T53)</f>
        <v>99.79775018695716</v>
      </c>
      <c r="V53" s="112"/>
      <c r="W53" s="107"/>
      <c r="X53" s="112"/>
      <c r="Y53" s="107"/>
      <c r="Z53" s="112"/>
      <c r="AA53" s="112"/>
      <c r="AB53" s="112"/>
      <c r="AC53" s="112"/>
      <c r="AD53" s="112"/>
      <c r="AE53" s="112"/>
      <c r="AF53" s="112"/>
      <c r="AG53" s="112"/>
      <c r="AH53" s="112"/>
      <c r="AI53" s="107">
        <f t="shared" si="25"/>
        <v>193.79433809329956</v>
      </c>
      <c r="AJ53" s="112"/>
      <c r="AK53" s="112"/>
      <c r="AL53" s="107">
        <f t="shared" si="6"/>
        <v>193.79433809329956</v>
      </c>
      <c r="AM53" s="110">
        <f t="shared" si="0"/>
        <v>-93.996587906342398</v>
      </c>
      <c r="AN53" s="110">
        <f t="shared" si="7"/>
        <v>544.68308791943093</v>
      </c>
    </row>
  </sheetData>
  <mergeCells count="25">
    <mergeCell ref="I1:I2"/>
    <mergeCell ref="AP1:AQ1"/>
    <mergeCell ref="AR1:AS1"/>
    <mergeCell ref="Q1:Q2"/>
    <mergeCell ref="R1:R2"/>
    <mergeCell ref="S1:S2"/>
    <mergeCell ref="T1:T2"/>
    <mergeCell ref="U1:U2"/>
    <mergeCell ref="V1:AJ1"/>
    <mergeCell ref="A1:B1"/>
    <mergeCell ref="AK1:AK2"/>
    <mergeCell ref="AL1:AL2"/>
    <mergeCell ref="AM1:AM2"/>
    <mergeCell ref="AN1:AN2"/>
    <mergeCell ref="J1:J2"/>
    <mergeCell ref="K1:K2"/>
    <mergeCell ref="L1:M1"/>
    <mergeCell ref="N1:N2"/>
    <mergeCell ref="O1:O2"/>
    <mergeCell ref="P1:P2"/>
    <mergeCell ref="D1:D2"/>
    <mergeCell ref="E1:E2"/>
    <mergeCell ref="F1:F2"/>
    <mergeCell ref="G1:G2"/>
    <mergeCell ref="H1:H2"/>
  </mergeCells>
  <phoneticPr fontId="26" type="noConversion"/>
  <conditionalFormatting sqref="AN3:AN1048576">
    <cfRule type="cellIs" dxfId="11" priority="2" operator="lessThan">
      <formula>0</formula>
    </cfRule>
  </conditionalFormatting>
  <conditionalFormatting sqref="AN1:AN2">
    <cfRule type="cellIs" dxfId="10" priority="1" operator="lessThan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4B1FE-1E21-4913-98B1-85CB73AC2690}">
  <dimension ref="A1:AT53"/>
  <sheetViews>
    <sheetView zoomScaleNormal="100" workbookViewId="0">
      <selection sqref="A1:B1"/>
    </sheetView>
  </sheetViews>
  <sheetFormatPr defaultRowHeight="14.5" x14ac:dyDescent="0.3"/>
  <cols>
    <col min="1" max="1" width="23.59765625" bestFit="1" customWidth="1"/>
    <col min="2" max="2" width="7.19921875" customWidth="1"/>
    <col min="4" max="8" width="6.09765625" bestFit="1" customWidth="1"/>
    <col min="9" max="9" width="36.59765625" bestFit="1" customWidth="1"/>
    <col min="10" max="10" width="10.5" customWidth="1"/>
    <col min="11" max="21" width="8.19921875" customWidth="1"/>
    <col min="22" max="22" width="6" customWidth="1"/>
    <col min="23" max="23" width="10.5" customWidth="1"/>
    <col min="24" max="24" width="6" customWidth="1"/>
    <col min="25" max="25" width="10.5" customWidth="1"/>
    <col min="26" max="27" width="6" customWidth="1"/>
    <col min="28" max="29" width="6.3984375" bestFit="1" customWidth="1"/>
    <col min="30" max="31" width="6.19921875" bestFit="1" customWidth="1"/>
    <col min="32" max="33" width="6.3984375" bestFit="1" customWidth="1"/>
    <col min="34" max="34" width="6.19921875" bestFit="1" customWidth="1"/>
    <col min="35" max="35" width="10.69921875" bestFit="1" customWidth="1"/>
    <col min="36" max="36" width="9.296875" customWidth="1"/>
    <col min="37" max="37" width="8.19921875" customWidth="1"/>
    <col min="38" max="38" width="7.5" bestFit="1" customWidth="1"/>
    <col min="39" max="39" width="7.5" style="2" bestFit="1" customWidth="1"/>
    <col min="40" max="40" width="10.69921875" bestFit="1" customWidth="1"/>
    <col min="42" max="44" width="8.8984375" bestFit="1" customWidth="1"/>
    <col min="45" max="45" width="10.09765625" customWidth="1"/>
    <col min="46" max="46" width="18" customWidth="1"/>
  </cols>
  <sheetData>
    <row r="1" spans="1:46" ht="14.5" customHeight="1" x14ac:dyDescent="0.3">
      <c r="A1" s="196" t="s">
        <v>347</v>
      </c>
      <c r="B1" s="196"/>
      <c r="C1" s="40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K1" s="189" t="s">
        <v>297</v>
      </c>
      <c r="L1" s="196" t="s">
        <v>298</v>
      </c>
      <c r="M1" s="196"/>
      <c r="N1" s="187" t="s">
        <v>299</v>
      </c>
      <c r="O1" s="187" t="s">
        <v>300</v>
      </c>
      <c r="P1" s="187" t="s">
        <v>301</v>
      </c>
      <c r="Q1" s="187" t="s">
        <v>302</v>
      </c>
      <c r="R1" s="187" t="s">
        <v>303</v>
      </c>
      <c r="S1" s="187" t="s">
        <v>304</v>
      </c>
      <c r="T1" s="187" t="s">
        <v>305</v>
      </c>
      <c r="U1" s="189" t="s">
        <v>306</v>
      </c>
      <c r="V1" s="196" t="s">
        <v>307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204" t="s">
        <v>154</v>
      </c>
      <c r="AL1" s="189" t="s">
        <v>308</v>
      </c>
      <c r="AM1" s="189" t="s">
        <v>309</v>
      </c>
      <c r="AN1" s="189" t="s">
        <v>310</v>
      </c>
      <c r="AO1" s="40"/>
      <c r="AP1" s="203" t="s">
        <v>140</v>
      </c>
      <c r="AQ1" s="203"/>
      <c r="AR1" s="203" t="s">
        <v>141</v>
      </c>
      <c r="AS1" s="203"/>
      <c r="AT1" s="131" t="s">
        <v>153</v>
      </c>
    </row>
    <row r="2" spans="1:46" x14ac:dyDescent="0.3">
      <c r="A2" s="100" t="s">
        <v>205</v>
      </c>
      <c r="B2" s="101" t="s">
        <v>349</v>
      </c>
      <c r="C2" s="40"/>
      <c r="D2" s="192"/>
      <c r="E2" s="192"/>
      <c r="F2" s="192"/>
      <c r="G2" s="192"/>
      <c r="H2" s="192"/>
      <c r="I2" s="192"/>
      <c r="J2" s="190"/>
      <c r="K2" s="190"/>
      <c r="L2" s="91" t="s">
        <v>315</v>
      </c>
      <c r="M2" s="91" t="s">
        <v>316</v>
      </c>
      <c r="N2" s="188"/>
      <c r="O2" s="188"/>
      <c r="P2" s="188"/>
      <c r="Q2" s="188"/>
      <c r="R2" s="188"/>
      <c r="S2" s="188"/>
      <c r="T2" s="188"/>
      <c r="U2" s="190"/>
      <c r="V2" s="91" t="s">
        <v>317</v>
      </c>
      <c r="W2" s="91" t="s">
        <v>318</v>
      </c>
      <c r="X2" s="91" t="s">
        <v>319</v>
      </c>
      <c r="Y2" s="91" t="s">
        <v>320</v>
      </c>
      <c r="Z2" s="91" t="s">
        <v>321</v>
      </c>
      <c r="AA2" s="91" t="s">
        <v>322</v>
      </c>
      <c r="AB2" s="91" t="s">
        <v>323</v>
      </c>
      <c r="AC2" s="91" t="s">
        <v>324</v>
      </c>
      <c r="AD2" s="91" t="s">
        <v>325</v>
      </c>
      <c r="AE2" s="91" t="s">
        <v>326</v>
      </c>
      <c r="AF2" s="91" t="s">
        <v>327</v>
      </c>
      <c r="AG2" s="91" t="s">
        <v>328</v>
      </c>
      <c r="AH2" s="91" t="s">
        <v>329</v>
      </c>
      <c r="AI2" s="91" t="s">
        <v>330</v>
      </c>
      <c r="AJ2" s="91" t="s">
        <v>331</v>
      </c>
      <c r="AK2" s="205"/>
      <c r="AL2" s="190"/>
      <c r="AM2" s="190"/>
      <c r="AN2" s="190"/>
      <c r="AO2" s="40"/>
      <c r="AP2" s="87" t="s">
        <v>138</v>
      </c>
      <c r="AQ2" s="87" t="s">
        <v>139</v>
      </c>
      <c r="AR2" s="87" t="s">
        <v>138</v>
      </c>
      <c r="AS2" s="87" t="s">
        <v>139</v>
      </c>
      <c r="AT2" s="87" t="s">
        <v>138</v>
      </c>
    </row>
    <row r="3" spans="1:46" x14ac:dyDescent="0.3">
      <c r="A3" s="88" t="s">
        <v>332</v>
      </c>
      <c r="B3" s="102">
        <v>0.02</v>
      </c>
      <c r="C3" s="40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40"/>
      <c r="J3" s="107"/>
      <c r="K3" s="107"/>
      <c r="L3" s="107">
        <v>54</v>
      </c>
      <c r="M3" s="107">
        <v>84</v>
      </c>
      <c r="N3" s="107">
        <v>2</v>
      </c>
      <c r="O3" s="107">
        <v>5</v>
      </c>
      <c r="P3" s="107"/>
      <c r="Q3" s="107"/>
      <c r="R3" s="107"/>
      <c r="S3" s="107"/>
      <c r="T3" s="107"/>
      <c r="U3" s="107">
        <f>SUM(L3:T3)</f>
        <v>145</v>
      </c>
      <c r="V3" s="107">
        <v>38.4</v>
      </c>
      <c r="W3" s="107">
        <v>5</v>
      </c>
      <c r="X3" s="107">
        <v>12</v>
      </c>
      <c r="Y3" s="107">
        <v>3</v>
      </c>
      <c r="Z3" s="107">
        <v>22.8</v>
      </c>
      <c r="AA3" s="107">
        <v>4.08</v>
      </c>
      <c r="AB3" s="107">
        <v>4.5</v>
      </c>
      <c r="AC3" s="107">
        <v>13.6</v>
      </c>
      <c r="AD3" s="107">
        <v>4.88</v>
      </c>
      <c r="AE3" s="107">
        <v>3.8</v>
      </c>
      <c r="AF3" s="107">
        <v>13</v>
      </c>
      <c r="AG3" s="107">
        <v>12</v>
      </c>
      <c r="AH3" s="107">
        <v>6.2</v>
      </c>
      <c r="AI3" s="107"/>
      <c r="AJ3" s="107"/>
      <c r="AK3" s="107"/>
      <c r="AL3" s="107">
        <f>SUM(V3:AK3)</f>
        <v>143.26</v>
      </c>
      <c r="AM3" s="110">
        <f t="shared" ref="AM3:AM53" si="0">U3-AL3</f>
        <v>1.7400000000000091</v>
      </c>
      <c r="AN3" s="110">
        <v>55</v>
      </c>
      <c r="AO3" s="40"/>
      <c r="AP3" s="112"/>
      <c r="AQ3" s="112"/>
      <c r="AR3" s="112">
        <v>90</v>
      </c>
      <c r="AS3" s="112">
        <v>90</v>
      </c>
      <c r="AT3" s="112">
        <v>50</v>
      </c>
    </row>
    <row r="4" spans="1:46" x14ac:dyDescent="0.3">
      <c r="A4" s="88" t="s">
        <v>333</v>
      </c>
      <c r="B4" s="102">
        <v>0.02</v>
      </c>
      <c r="C4" s="40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40"/>
      <c r="J4" s="107">
        <f>AN3</f>
        <v>55</v>
      </c>
      <c r="K4" s="107">
        <v>0.04</v>
      </c>
      <c r="L4" s="107">
        <f t="shared" ref="L4:L27" si="1">L3*(1+$B$4)</f>
        <v>55.08</v>
      </c>
      <c r="M4" s="107">
        <f t="shared" ref="M4:M27" si="2">M3*(1+$B$5)</f>
        <v>84.84</v>
      </c>
      <c r="N4" s="107">
        <f>J4*K4</f>
        <v>2.2000000000000002</v>
      </c>
      <c r="O4" s="107">
        <f>O3*(1+$B$3)</f>
        <v>5.0999999999999996</v>
      </c>
      <c r="P4" s="107"/>
      <c r="Q4" s="107"/>
      <c r="R4" s="107"/>
      <c r="S4" s="107"/>
      <c r="T4" s="107"/>
      <c r="U4" s="107">
        <f t="shared" ref="U4:U52" si="3">SUM(L4:T4)</f>
        <v>147.22</v>
      </c>
      <c r="V4" s="107">
        <v>38.4</v>
      </c>
      <c r="W4" s="107">
        <f>W3*(1+$B$3)</f>
        <v>5.0999999999999996</v>
      </c>
      <c r="X4" s="107">
        <v>12</v>
      </c>
      <c r="Y4" s="107">
        <f>Y3*(1+$B$3)</f>
        <v>3.06</v>
      </c>
      <c r="Z4" s="107">
        <f t="shared" ref="Y4:Z8" si="4">Z3*(1+$B$3)</f>
        <v>23.256</v>
      </c>
      <c r="AA4" s="107">
        <v>4.08</v>
      </c>
      <c r="AB4" s="107">
        <v>4.7</v>
      </c>
      <c r="AC4" s="107">
        <v>13.6</v>
      </c>
      <c r="AD4" s="107">
        <f>AD3*(1+$B$3)</f>
        <v>4.9775999999999998</v>
      </c>
      <c r="AE4" s="107">
        <f t="shared" ref="AD4:AF19" si="5">AE3*(1+$B$3)</f>
        <v>3.8759999999999999</v>
      </c>
      <c r="AF4" s="107">
        <f>AF3*(1+$B$3)</f>
        <v>13.26</v>
      </c>
      <c r="AG4" s="107">
        <v>12</v>
      </c>
      <c r="AH4" s="107">
        <f>AH3*(1+$B$3)</f>
        <v>6.3240000000000007</v>
      </c>
      <c r="AI4" s="107"/>
      <c r="AJ4" s="107"/>
      <c r="AK4" s="176">
        <v>-5</v>
      </c>
      <c r="AL4" s="107">
        <f t="shared" ref="AL4:AL53" si="6">SUM(V4:AK4)</f>
        <v>139.6336</v>
      </c>
      <c r="AM4" s="110">
        <f t="shared" si="0"/>
        <v>7.5863999999999976</v>
      </c>
      <c r="AN4" s="110">
        <f t="shared" ref="AN4:AN53" si="7">J4+AM4</f>
        <v>62.586399999999998</v>
      </c>
      <c r="AO4" s="40"/>
      <c r="AP4" s="112">
        <f t="shared" ref="AP4:AP27" si="8">L4*0.06</f>
        <v>3.3047999999999997</v>
      </c>
      <c r="AQ4" s="112">
        <f>3.82*12*0.06</f>
        <v>2.7503999999999995</v>
      </c>
      <c r="AR4" s="112">
        <f t="shared" ref="AR4:AR27" si="9">AR3*(1+$B$6)+AP4</f>
        <v>96.904800000000009</v>
      </c>
      <c r="AS4" s="112">
        <f t="shared" ref="AS4:AS27" si="10">AS3*(1+$B$6)+AQ4</f>
        <v>96.350400000000008</v>
      </c>
      <c r="AT4" s="112">
        <f t="shared" ref="AT4:AT13" si="11">AT3*(1+$B$7) + 6</f>
        <v>58</v>
      </c>
    </row>
    <row r="5" spans="1:46" x14ac:dyDescent="0.3">
      <c r="A5" s="88" t="s">
        <v>334</v>
      </c>
      <c r="B5" s="102">
        <v>0.01</v>
      </c>
      <c r="C5" s="40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40"/>
      <c r="J5" s="107">
        <f>AN4</f>
        <v>62.586399999999998</v>
      </c>
      <c r="K5" s="107">
        <v>0.04</v>
      </c>
      <c r="L5" s="107">
        <f t="shared" si="1"/>
        <v>56.181599999999996</v>
      </c>
      <c r="M5" s="107">
        <f t="shared" si="2"/>
        <v>85.688400000000001</v>
      </c>
      <c r="N5" s="107">
        <f>J5*K5</f>
        <v>2.5034559999999999</v>
      </c>
      <c r="O5" s="107">
        <f t="shared" ref="O5:O20" si="12">O4*(1+$B$3)</f>
        <v>5.202</v>
      </c>
      <c r="P5" s="107"/>
      <c r="Q5" s="107"/>
      <c r="R5" s="107"/>
      <c r="S5" s="107"/>
      <c r="T5" s="107"/>
      <c r="U5" s="107">
        <f t="shared" si="3"/>
        <v>149.575456</v>
      </c>
      <c r="V5" s="107">
        <v>38.4</v>
      </c>
      <c r="W5" s="107">
        <f>W4*(1+$B$3)</f>
        <v>5.202</v>
      </c>
      <c r="X5" s="107">
        <v>12</v>
      </c>
      <c r="Y5" s="107">
        <f t="shared" si="4"/>
        <v>3.1212</v>
      </c>
      <c r="Z5" s="107">
        <f t="shared" si="4"/>
        <v>23.721119999999999</v>
      </c>
      <c r="AA5" s="107">
        <v>4.08</v>
      </c>
      <c r="AB5" s="107">
        <v>4.9000000000000004</v>
      </c>
      <c r="AC5" s="107">
        <v>13.6</v>
      </c>
      <c r="AD5" s="107">
        <f t="shared" si="5"/>
        <v>5.0771519999999999</v>
      </c>
      <c r="AE5" s="107">
        <f t="shared" si="5"/>
        <v>3.9535200000000001</v>
      </c>
      <c r="AF5" s="107">
        <f t="shared" si="5"/>
        <v>13.5252</v>
      </c>
      <c r="AG5" s="107">
        <v>12</v>
      </c>
      <c r="AH5" s="107">
        <f t="shared" ref="AH5:AH23" si="13">AH4*(1+$B$3)</f>
        <v>6.4504800000000007</v>
      </c>
      <c r="AI5" s="107"/>
      <c r="AJ5" s="107"/>
      <c r="AK5" s="176">
        <v>-5</v>
      </c>
      <c r="AL5" s="107">
        <f t="shared" si="6"/>
        <v>141.03067200000001</v>
      </c>
      <c r="AM5" s="110">
        <f t="shared" si="0"/>
        <v>8.5447839999999928</v>
      </c>
      <c r="AN5" s="110">
        <f t="shared" si="7"/>
        <v>71.13118399999999</v>
      </c>
      <c r="AO5" s="40"/>
      <c r="AP5" s="112">
        <f t="shared" si="8"/>
        <v>3.3708959999999997</v>
      </c>
      <c r="AQ5" s="112">
        <f t="shared" ref="AQ5:AQ27" si="14">3.82*12*0.06</f>
        <v>2.7503999999999995</v>
      </c>
      <c r="AR5" s="112">
        <f t="shared" si="9"/>
        <v>104.15188800000001</v>
      </c>
      <c r="AS5" s="112">
        <f t="shared" si="10"/>
        <v>102.95481600000001</v>
      </c>
      <c r="AT5" s="112">
        <f t="shared" si="11"/>
        <v>66.319999999999993</v>
      </c>
    </row>
    <row r="6" spans="1:46" x14ac:dyDescent="0.3">
      <c r="A6" s="88" t="s">
        <v>335</v>
      </c>
      <c r="B6" s="102">
        <v>0.04</v>
      </c>
      <c r="C6" s="40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40"/>
      <c r="J6" s="107">
        <f>AN5</f>
        <v>71.13118399999999</v>
      </c>
      <c r="K6" s="107">
        <v>0.04</v>
      </c>
      <c r="L6" s="107">
        <f t="shared" si="1"/>
        <v>57.305231999999997</v>
      </c>
      <c r="M6" s="107">
        <f t="shared" si="2"/>
        <v>86.545283999999995</v>
      </c>
      <c r="N6" s="107">
        <f>J6*K6</f>
        <v>2.8452473599999997</v>
      </c>
      <c r="O6" s="107">
        <f t="shared" si="12"/>
        <v>5.3060400000000003</v>
      </c>
      <c r="P6" s="107"/>
      <c r="Q6" s="107"/>
      <c r="R6" s="107"/>
      <c r="S6" s="107"/>
      <c r="T6" s="107"/>
      <c r="U6" s="107">
        <f t="shared" si="3"/>
        <v>152.00180336</v>
      </c>
      <c r="V6" s="107">
        <v>38.4</v>
      </c>
      <c r="W6" s="107">
        <f>W5*(1+$B$3)</f>
        <v>5.3060400000000003</v>
      </c>
      <c r="X6" s="107">
        <v>12</v>
      </c>
      <c r="Y6" s="107">
        <f t="shared" si="4"/>
        <v>3.183624</v>
      </c>
      <c r="Z6" s="107">
        <f t="shared" si="4"/>
        <v>24.195542400000001</v>
      </c>
      <c r="AA6" s="107">
        <v>4.08</v>
      </c>
      <c r="AB6" s="107">
        <v>5.3</v>
      </c>
      <c r="AC6" s="107">
        <v>13.6</v>
      </c>
      <c r="AD6" s="107">
        <f t="shared" si="5"/>
        <v>5.17869504</v>
      </c>
      <c r="AE6" s="107">
        <f t="shared" si="5"/>
        <v>4.0325904000000001</v>
      </c>
      <c r="AF6" s="107">
        <f t="shared" si="5"/>
        <v>13.795704000000001</v>
      </c>
      <c r="AG6" s="107">
        <v>12</v>
      </c>
      <c r="AH6" s="107">
        <f t="shared" si="13"/>
        <v>6.5794896000000005</v>
      </c>
      <c r="AI6" s="107"/>
      <c r="AJ6" s="107"/>
      <c r="AK6" s="176">
        <v>-5</v>
      </c>
      <c r="AL6" s="107">
        <f t="shared" si="6"/>
        <v>142.65168543999999</v>
      </c>
      <c r="AM6" s="110">
        <f t="shared" si="0"/>
        <v>9.3501179200000024</v>
      </c>
      <c r="AN6" s="110">
        <f t="shared" si="7"/>
        <v>80.481301919999993</v>
      </c>
      <c r="AO6" s="40"/>
      <c r="AP6" s="112">
        <f t="shared" si="8"/>
        <v>3.4383139199999997</v>
      </c>
      <c r="AQ6" s="112">
        <f t="shared" si="14"/>
        <v>2.7503999999999995</v>
      </c>
      <c r="AR6" s="112">
        <f t="shared" si="9"/>
        <v>111.75627744000002</v>
      </c>
      <c r="AS6" s="112">
        <f t="shared" si="10"/>
        <v>109.82340864000001</v>
      </c>
      <c r="AT6" s="112">
        <f t="shared" si="11"/>
        <v>74.972799999999992</v>
      </c>
    </row>
    <row r="7" spans="1:46" x14ac:dyDescent="0.3">
      <c r="A7" s="95" t="s">
        <v>336</v>
      </c>
      <c r="B7" s="103">
        <v>0.04</v>
      </c>
      <c r="C7" s="40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40" t="s">
        <v>136</v>
      </c>
      <c r="J7" s="107">
        <f>AN6</f>
        <v>80.481301919999993</v>
      </c>
      <c r="K7" s="107">
        <v>0.04</v>
      </c>
      <c r="L7" s="107">
        <f t="shared" si="1"/>
        <v>58.451336640000001</v>
      </c>
      <c r="M7" s="107">
        <f t="shared" si="2"/>
        <v>87.410736839999998</v>
      </c>
      <c r="N7" s="107">
        <f>J7*K7</f>
        <v>3.2192520767999997</v>
      </c>
      <c r="O7" s="107">
        <f t="shared" si="12"/>
        <v>5.4121608000000005</v>
      </c>
      <c r="P7" s="107"/>
      <c r="Q7" s="107"/>
      <c r="R7" s="107"/>
      <c r="S7" s="107"/>
      <c r="T7" s="107"/>
      <c r="U7" s="107">
        <f t="shared" si="3"/>
        <v>154.49348635679999</v>
      </c>
      <c r="V7" s="107">
        <v>38.4</v>
      </c>
      <c r="W7" s="107">
        <f>W6*(1+$B$3)</f>
        <v>5.4121608000000005</v>
      </c>
      <c r="X7" s="107">
        <v>12</v>
      </c>
      <c r="Y7" s="107">
        <f t="shared" si="4"/>
        <v>3.2472964800000002</v>
      </c>
      <c r="Z7" s="107">
        <f t="shared" si="4"/>
        <v>24.679453248000002</v>
      </c>
      <c r="AA7" s="107">
        <v>4.08</v>
      </c>
      <c r="AB7" s="107">
        <v>5.5</v>
      </c>
      <c r="AC7" s="107">
        <v>13.6</v>
      </c>
      <c r="AD7" s="107">
        <f t="shared" si="5"/>
        <v>5.2822689407999999</v>
      </c>
      <c r="AE7" s="107">
        <f t="shared" si="5"/>
        <v>4.113242208</v>
      </c>
      <c r="AF7" s="107">
        <f t="shared" si="5"/>
        <v>14.07161808</v>
      </c>
      <c r="AG7" s="107">
        <v>12</v>
      </c>
      <c r="AH7" s="107">
        <f t="shared" si="13"/>
        <v>6.7110793920000003</v>
      </c>
      <c r="AI7" s="107"/>
      <c r="AJ7" s="117">
        <f>理財目標費用終值!D16</f>
        <v>21.648643199999999</v>
      </c>
      <c r="AK7" s="176">
        <v>-5</v>
      </c>
      <c r="AL7" s="107">
        <f t="shared" si="6"/>
        <v>165.74576234879999</v>
      </c>
      <c r="AM7" s="110">
        <f t="shared" si="0"/>
        <v>-11.252275991999994</v>
      </c>
      <c r="AN7" s="110">
        <f t="shared" si="7"/>
        <v>69.229025927999999</v>
      </c>
      <c r="AO7" s="40"/>
      <c r="AP7" s="112">
        <f t="shared" si="8"/>
        <v>3.5070801983999997</v>
      </c>
      <c r="AQ7" s="112">
        <f t="shared" si="14"/>
        <v>2.7503999999999995</v>
      </c>
      <c r="AR7" s="112">
        <f t="shared" si="9"/>
        <v>119.73360873600002</v>
      </c>
      <c r="AS7" s="112">
        <f t="shared" si="10"/>
        <v>116.96674498560002</v>
      </c>
      <c r="AT7" s="112">
        <f t="shared" si="11"/>
        <v>83.971711999999997</v>
      </c>
    </row>
    <row r="8" spans="1:46" x14ac:dyDescent="0.3">
      <c r="C8" s="40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40" t="s">
        <v>144</v>
      </c>
      <c r="J8" s="107">
        <f>AN7</f>
        <v>69.229025927999999</v>
      </c>
      <c r="K8" s="107">
        <v>0.04</v>
      </c>
      <c r="L8" s="107">
        <f t="shared" si="1"/>
        <v>59.6203633728</v>
      </c>
      <c r="M8" s="107">
        <f t="shared" si="2"/>
        <v>88.284844208400003</v>
      </c>
      <c r="N8" s="107">
        <f>J8*K8</f>
        <v>2.7691610371199999</v>
      </c>
      <c r="O8" s="107">
        <f t="shared" si="12"/>
        <v>5.5204040160000005</v>
      </c>
      <c r="P8" s="107"/>
      <c r="Q8" s="107"/>
      <c r="R8" s="107"/>
      <c r="S8" s="107"/>
      <c r="T8" s="107"/>
      <c r="U8" s="107">
        <f t="shared" si="3"/>
        <v>156.19477263431997</v>
      </c>
      <c r="V8" s="107">
        <v>38.4</v>
      </c>
      <c r="W8" s="107">
        <f>W7*(1+$B$3)</f>
        <v>5.5204040160000005</v>
      </c>
      <c r="X8" s="107"/>
      <c r="Y8" s="107">
        <f t="shared" si="4"/>
        <v>3.3122424096</v>
      </c>
      <c r="Z8" s="107">
        <f>Z7*(1+$B$3)*(3/4)</f>
        <v>18.879781734720002</v>
      </c>
      <c r="AA8" s="107">
        <v>4.08</v>
      </c>
      <c r="AB8" s="107">
        <v>5.3</v>
      </c>
      <c r="AC8" s="107">
        <v>13.6</v>
      </c>
      <c r="AD8" s="107">
        <f t="shared" si="5"/>
        <v>5.3879143196159998</v>
      </c>
      <c r="AE8" s="107">
        <f t="shared" si="5"/>
        <v>4.19550705216</v>
      </c>
      <c r="AF8" s="107">
        <f>AF7*(1+$B$3)*0.5</f>
        <v>7.1765252208000003</v>
      </c>
      <c r="AG8" s="107">
        <v>12</v>
      </c>
      <c r="AH8" s="107">
        <f t="shared" si="13"/>
        <v>6.8453009798400002</v>
      </c>
      <c r="AI8" s="107"/>
      <c r="AJ8" s="117">
        <f>理財目標費用終值!D3</f>
        <v>27.602020079999999</v>
      </c>
      <c r="AK8" s="176">
        <v>-5</v>
      </c>
      <c r="AL8" s="107">
        <f t="shared" si="6"/>
        <v>147.29969581273599</v>
      </c>
      <c r="AM8" s="110">
        <f t="shared" si="0"/>
        <v>8.8950768215839844</v>
      </c>
      <c r="AN8" s="110">
        <f t="shared" si="7"/>
        <v>78.124102749583983</v>
      </c>
      <c r="AO8" s="40"/>
      <c r="AP8" s="112">
        <f t="shared" si="8"/>
        <v>3.5772218023679998</v>
      </c>
      <c r="AQ8" s="112">
        <f t="shared" si="14"/>
        <v>2.7503999999999995</v>
      </c>
      <c r="AR8" s="112">
        <f t="shared" si="9"/>
        <v>128.10017488780801</v>
      </c>
      <c r="AS8" s="112">
        <f t="shared" si="10"/>
        <v>124.39581478502402</v>
      </c>
      <c r="AT8" s="112">
        <f t="shared" si="11"/>
        <v>93.330580479999995</v>
      </c>
    </row>
    <row r="9" spans="1:46" x14ac:dyDescent="0.3">
      <c r="A9" s="40"/>
      <c r="B9" s="54"/>
      <c r="C9" s="40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40" t="s">
        <v>145</v>
      </c>
      <c r="J9" s="107">
        <f t="shared" ref="J9:J53" si="15">AN8</f>
        <v>78.124102749583983</v>
      </c>
      <c r="K9" s="107">
        <v>0.04</v>
      </c>
      <c r="L9" s="107">
        <f t="shared" si="1"/>
        <v>60.812770640255998</v>
      </c>
      <c r="M9" s="107">
        <f t="shared" si="2"/>
        <v>89.167692650484</v>
      </c>
      <c r="N9" s="107">
        <v>3</v>
      </c>
      <c r="O9" s="107">
        <f t="shared" si="12"/>
        <v>5.6308120963200006</v>
      </c>
      <c r="P9" s="107"/>
      <c r="Q9" s="107"/>
      <c r="R9" s="107"/>
      <c r="S9" s="107"/>
      <c r="T9" s="107"/>
      <c r="U9" s="107">
        <f t="shared" si="3"/>
        <v>158.61127538706</v>
      </c>
      <c r="V9" s="107">
        <v>38.4</v>
      </c>
      <c r="W9" s="107">
        <v>6</v>
      </c>
      <c r="X9" s="107"/>
      <c r="Y9" s="107">
        <v>4</v>
      </c>
      <c r="Z9" s="107">
        <f>Z8*(1+$B$3)</f>
        <v>19.257377369414403</v>
      </c>
      <c r="AA9" s="107">
        <v>4.08</v>
      </c>
      <c r="AB9" s="107">
        <v>5.6</v>
      </c>
      <c r="AC9" s="107">
        <v>13.6</v>
      </c>
      <c r="AD9" s="107">
        <f t="shared" si="5"/>
        <v>5.4956726060083199</v>
      </c>
      <c r="AE9" s="107">
        <f>AE8*(1+$B$3)</f>
        <v>4.2794171932031997</v>
      </c>
      <c r="AF9" s="107">
        <f>AF8*(1+$B$3)</f>
        <v>7.3200557252160001</v>
      </c>
      <c r="AG9" s="107">
        <v>12</v>
      </c>
      <c r="AH9" s="107">
        <f t="shared" si="13"/>
        <v>6.9822069994368006</v>
      </c>
      <c r="AI9" s="107"/>
      <c r="AJ9" s="117">
        <f>理財目標費用終值!D4</f>
        <v>28.154060481600002</v>
      </c>
      <c r="AK9" s="176">
        <v>-5</v>
      </c>
      <c r="AL9" s="107">
        <f t="shared" si="6"/>
        <v>150.16879037487871</v>
      </c>
      <c r="AM9" s="110">
        <f t="shared" si="0"/>
        <v>8.4424850121812938</v>
      </c>
      <c r="AN9" s="110">
        <f t="shared" si="7"/>
        <v>86.566587761765277</v>
      </c>
      <c r="AO9" s="40"/>
      <c r="AP9" s="112">
        <f t="shared" si="8"/>
        <v>3.6487662384153596</v>
      </c>
      <c r="AQ9" s="112">
        <f t="shared" si="14"/>
        <v>2.7503999999999995</v>
      </c>
      <c r="AR9" s="112">
        <f t="shared" si="9"/>
        <v>136.8729481217357</v>
      </c>
      <c r="AS9" s="112">
        <f t="shared" si="10"/>
        <v>132.122047376425</v>
      </c>
      <c r="AT9" s="112">
        <f t="shared" si="11"/>
        <v>103.06380369919999</v>
      </c>
    </row>
    <row r="10" spans="1:46" x14ac:dyDescent="0.3">
      <c r="A10" s="40"/>
      <c r="B10" s="54"/>
      <c r="C10" s="40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40" t="s">
        <v>146</v>
      </c>
      <c r="J10" s="107">
        <f t="shared" si="15"/>
        <v>86.566587761765277</v>
      </c>
      <c r="K10" s="107">
        <v>0.04</v>
      </c>
      <c r="L10" s="107">
        <f t="shared" si="1"/>
        <v>62.029026053061116</v>
      </c>
      <c r="M10" s="107">
        <f t="shared" si="2"/>
        <v>90.059369576988843</v>
      </c>
      <c r="N10" s="107">
        <f>J10*K10</f>
        <v>3.4626635104706112</v>
      </c>
      <c r="O10" s="107">
        <f t="shared" si="12"/>
        <v>5.7434283382464004</v>
      </c>
      <c r="P10" s="107"/>
      <c r="Q10" s="107"/>
      <c r="R10" s="107"/>
      <c r="S10" s="107"/>
      <c r="T10" s="107"/>
      <c r="U10" s="107">
        <f t="shared" si="3"/>
        <v>161.29448747876694</v>
      </c>
      <c r="V10" s="107">
        <v>38.4</v>
      </c>
      <c r="W10" s="107">
        <f t="shared" ref="W10:W26" si="16">W9*(1+$B$3)</f>
        <v>6.12</v>
      </c>
      <c r="X10" s="107"/>
      <c r="Y10" s="107">
        <f>Y9*(1+$B$3)</f>
        <v>4.08</v>
      </c>
      <c r="Z10" s="107">
        <f>Z9*(1+$B$3)*(2/3)</f>
        <v>13.095016611201794</v>
      </c>
      <c r="AA10" s="107">
        <v>4.08</v>
      </c>
      <c r="AB10" s="107">
        <v>5.0999999999999996</v>
      </c>
      <c r="AC10" s="107">
        <v>13.6</v>
      </c>
      <c r="AD10" s="107">
        <f t="shared" si="5"/>
        <v>5.6055860581284866</v>
      </c>
      <c r="AE10" s="107">
        <f t="shared" si="5"/>
        <v>4.3650055370672636</v>
      </c>
      <c r="AF10" s="107"/>
      <c r="AG10" s="107">
        <v>12</v>
      </c>
      <c r="AH10" s="107">
        <f t="shared" si="13"/>
        <v>7.1218511394255364</v>
      </c>
      <c r="AI10" s="107"/>
      <c r="AJ10" s="117">
        <f>理財目標費用終值!D5+理財目標費用終值!D8</f>
        <v>57.434283382463988</v>
      </c>
      <c r="AK10" s="176">
        <v>-5</v>
      </c>
      <c r="AL10" s="107">
        <f t="shared" si="6"/>
        <v>166.00174272828704</v>
      </c>
      <c r="AM10" s="110">
        <f t="shared" si="0"/>
        <v>-4.7072552495201023</v>
      </c>
      <c r="AN10" s="110">
        <f t="shared" si="7"/>
        <v>81.859332512245174</v>
      </c>
      <c r="AO10" s="40"/>
      <c r="AP10" s="112">
        <f t="shared" si="8"/>
        <v>3.721741563183667</v>
      </c>
      <c r="AQ10" s="112">
        <f t="shared" si="14"/>
        <v>2.7503999999999995</v>
      </c>
      <c r="AR10" s="112">
        <f t="shared" si="9"/>
        <v>146.06960760978879</v>
      </c>
      <c r="AS10" s="112">
        <f t="shared" si="10"/>
        <v>140.15732927148201</v>
      </c>
      <c r="AT10" s="112">
        <f t="shared" si="11"/>
        <v>113.186355847168</v>
      </c>
    </row>
    <row r="11" spans="1:46" x14ac:dyDescent="0.3">
      <c r="A11" s="40"/>
      <c r="B11" s="54"/>
      <c r="C11" s="40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40" t="s">
        <v>147</v>
      </c>
      <c r="J11" s="107">
        <f t="shared" si="15"/>
        <v>81.859332512245174</v>
      </c>
      <c r="K11" s="107">
        <v>0.04</v>
      </c>
      <c r="L11" s="107">
        <f t="shared" si="1"/>
        <v>63.269606574122342</v>
      </c>
      <c r="M11" s="107">
        <f t="shared" si="2"/>
        <v>90.959963272758728</v>
      </c>
      <c r="N11" s="107">
        <f>J11*K11</f>
        <v>3.274373300489807</v>
      </c>
      <c r="O11" s="107">
        <f t="shared" si="12"/>
        <v>5.8582969050113283</v>
      </c>
      <c r="P11" s="107"/>
      <c r="Q11" s="107"/>
      <c r="R11" s="107"/>
      <c r="S11" s="107"/>
      <c r="T11" s="107"/>
      <c r="U11" s="107">
        <f t="shared" si="3"/>
        <v>163.36224005238219</v>
      </c>
      <c r="V11" s="107">
        <v>38.4</v>
      </c>
      <c r="W11" s="107">
        <f t="shared" si="16"/>
        <v>6.2423999999999999</v>
      </c>
      <c r="X11" s="107"/>
      <c r="Y11" s="107">
        <f>Y10*(1+$B$3)</f>
        <v>4.1616</v>
      </c>
      <c r="Z11" s="107">
        <f>Z10*(1+$B$3)</f>
        <v>13.35691694342583</v>
      </c>
      <c r="AA11" s="107">
        <v>4.08</v>
      </c>
      <c r="AB11" s="107">
        <v>5.8</v>
      </c>
      <c r="AC11" s="107">
        <v>13.6</v>
      </c>
      <c r="AD11" s="107">
        <f t="shared" si="5"/>
        <v>5.7176977792910568</v>
      </c>
      <c r="AE11" s="107">
        <f t="shared" si="5"/>
        <v>4.4523056478086085</v>
      </c>
      <c r="AF11" s="107"/>
      <c r="AG11" s="107">
        <v>12</v>
      </c>
      <c r="AH11" s="107">
        <f t="shared" si="13"/>
        <v>7.2642881622140472</v>
      </c>
      <c r="AI11" s="107"/>
      <c r="AJ11" s="117">
        <f>理財目標費用終值!D6+理財目標費用終值!D9+理財目標費用終值!D17</f>
        <v>82.01615667015858</v>
      </c>
      <c r="AK11" s="176">
        <v>-5</v>
      </c>
      <c r="AL11" s="107">
        <f t="shared" si="6"/>
        <v>192.09136520289812</v>
      </c>
      <c r="AM11" s="110">
        <f t="shared" si="0"/>
        <v>-28.729125150515927</v>
      </c>
      <c r="AN11" s="110">
        <f t="shared" si="7"/>
        <v>53.130207361729248</v>
      </c>
      <c r="AO11" s="40"/>
      <c r="AP11" s="112">
        <f t="shared" si="8"/>
        <v>3.7961763944473406</v>
      </c>
      <c r="AQ11" s="112">
        <f t="shared" si="14"/>
        <v>2.7503999999999995</v>
      </c>
      <c r="AR11" s="112">
        <f t="shared" si="9"/>
        <v>155.70856830862769</v>
      </c>
      <c r="AS11" s="112">
        <f t="shared" si="10"/>
        <v>148.51402244234131</v>
      </c>
      <c r="AT11" s="112">
        <f t="shared" si="11"/>
        <v>123.71381008105473</v>
      </c>
    </row>
    <row r="12" spans="1:46" x14ac:dyDescent="0.3">
      <c r="A12" s="40"/>
      <c r="B12" s="54"/>
      <c r="C12" s="40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40" t="s">
        <v>148</v>
      </c>
      <c r="J12" s="107">
        <f t="shared" si="15"/>
        <v>53.130207361729248</v>
      </c>
      <c r="K12" s="107">
        <v>0.04</v>
      </c>
      <c r="L12" s="107">
        <f t="shared" si="1"/>
        <v>64.534998705604792</v>
      </c>
      <c r="M12" s="107">
        <f t="shared" si="2"/>
        <v>91.869562905486319</v>
      </c>
      <c r="N12" s="107">
        <f>J12*K12</f>
        <v>2.1252082944691701</v>
      </c>
      <c r="O12" s="107">
        <f t="shared" si="12"/>
        <v>5.9754628431115551</v>
      </c>
      <c r="P12" s="107"/>
      <c r="Q12" s="107"/>
      <c r="R12" s="107"/>
      <c r="S12" s="107"/>
      <c r="T12" s="107"/>
      <c r="U12" s="107">
        <f t="shared" si="3"/>
        <v>164.50523274867183</v>
      </c>
      <c r="V12" s="107">
        <v>38.4</v>
      </c>
      <c r="W12" s="107">
        <f t="shared" si="16"/>
        <v>6.367248</v>
      </c>
      <c r="X12" s="107"/>
      <c r="Y12" s="107">
        <f>Y11*(1+$B$3)</f>
        <v>4.2448319999999997</v>
      </c>
      <c r="Z12" s="107">
        <f>Z11*(1+$B$3)</f>
        <v>13.624055282294346</v>
      </c>
      <c r="AA12" s="107">
        <v>4.08</v>
      </c>
      <c r="AB12" s="107">
        <v>6.3</v>
      </c>
      <c r="AC12" s="107">
        <v>13.6</v>
      </c>
      <c r="AD12" s="107">
        <f t="shared" si="5"/>
        <v>5.8320517348768783</v>
      </c>
      <c r="AE12" s="107">
        <f t="shared" si="5"/>
        <v>4.5413517607647806</v>
      </c>
      <c r="AF12" s="107"/>
      <c r="AG12" s="107">
        <v>12</v>
      </c>
      <c r="AH12" s="107">
        <f t="shared" si="13"/>
        <v>7.4095739254583286</v>
      </c>
      <c r="AI12" s="107"/>
      <c r="AJ12" s="117">
        <f>理財目標費用終值!D10</f>
        <v>29.877314215557771</v>
      </c>
      <c r="AK12" s="176">
        <v>-5</v>
      </c>
      <c r="AL12" s="107">
        <f t="shared" si="6"/>
        <v>141.2764269189521</v>
      </c>
      <c r="AM12" s="110">
        <f t="shared" si="0"/>
        <v>23.228805829719732</v>
      </c>
      <c r="AN12" s="110">
        <f t="shared" si="7"/>
        <v>76.35901319144898</v>
      </c>
      <c r="AO12" s="40"/>
      <c r="AP12" s="112">
        <f t="shared" si="8"/>
        <v>3.8720999223362873</v>
      </c>
      <c r="AQ12" s="112">
        <f t="shared" si="14"/>
        <v>2.7503999999999995</v>
      </c>
      <c r="AR12" s="112">
        <f t="shared" si="9"/>
        <v>165.80901096330908</v>
      </c>
      <c r="AS12" s="112">
        <f t="shared" si="10"/>
        <v>157.204983340035</v>
      </c>
      <c r="AT12" s="112">
        <f t="shared" si="11"/>
        <v>134.66236248429692</v>
      </c>
    </row>
    <row r="13" spans="1:46" x14ac:dyDescent="0.3">
      <c r="A13" s="40"/>
      <c r="B13" s="54"/>
      <c r="C13" s="40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40" t="s">
        <v>149</v>
      </c>
      <c r="J13" s="107">
        <f t="shared" si="15"/>
        <v>76.35901319144898</v>
      </c>
      <c r="K13" s="107">
        <v>0.04</v>
      </c>
      <c r="L13" s="107">
        <f t="shared" si="1"/>
        <v>65.825698679716893</v>
      </c>
      <c r="M13" s="107">
        <f t="shared" si="2"/>
        <v>92.788258534541185</v>
      </c>
      <c r="N13" s="107">
        <f>J13*K13</f>
        <v>3.0543605276579591</v>
      </c>
      <c r="O13" s="107">
        <f t="shared" si="12"/>
        <v>6.094972099973786</v>
      </c>
      <c r="P13" s="107"/>
      <c r="Q13" s="107"/>
      <c r="R13" s="107"/>
      <c r="S13" s="107"/>
      <c r="T13" s="107"/>
      <c r="U13" s="107">
        <f t="shared" si="3"/>
        <v>167.76328984188982</v>
      </c>
      <c r="V13" s="107">
        <v>38.4</v>
      </c>
      <c r="W13" s="107">
        <f t="shared" si="16"/>
        <v>6.4945929600000003</v>
      </c>
      <c r="X13" s="107"/>
      <c r="Y13" s="107">
        <f>Y12*(1+$B$3)</f>
        <v>4.3297286399999999</v>
      </c>
      <c r="Z13" s="107">
        <f>Z12*(1+$B$3)</f>
        <v>13.896536387940234</v>
      </c>
      <c r="AA13" s="107">
        <v>4.08</v>
      </c>
      <c r="AB13" s="107">
        <v>6.6</v>
      </c>
      <c r="AC13" s="107">
        <v>13.6</v>
      </c>
      <c r="AD13" s="107">
        <f t="shared" si="5"/>
        <v>5.9486927695744161</v>
      </c>
      <c r="AE13" s="107">
        <f t="shared" si="5"/>
        <v>4.6321787959800762</v>
      </c>
      <c r="AF13" s="107"/>
      <c r="AG13" s="107">
        <f>12*2</f>
        <v>24</v>
      </c>
      <c r="AH13" s="107">
        <f t="shared" si="13"/>
        <v>7.5577654039674957</v>
      </c>
      <c r="AI13" s="107"/>
      <c r="AJ13" s="117">
        <f>理財目標費用終值!D11</f>
        <v>30.474860499868928</v>
      </c>
      <c r="AK13" s="176">
        <v>-5</v>
      </c>
      <c r="AL13" s="107">
        <f t="shared" si="6"/>
        <v>155.01435545733113</v>
      </c>
      <c r="AM13" s="110">
        <f t="shared" si="0"/>
        <v>12.74893438455868</v>
      </c>
      <c r="AN13" s="110">
        <f t="shared" si="7"/>
        <v>89.10794757600766</v>
      </c>
      <c r="AO13" s="40"/>
      <c r="AP13" s="112">
        <f t="shared" si="8"/>
        <v>3.9495419207830134</v>
      </c>
      <c r="AQ13" s="112">
        <f t="shared" si="14"/>
        <v>2.7503999999999995</v>
      </c>
      <c r="AR13" s="112">
        <f t="shared" si="9"/>
        <v>176.39091332262447</v>
      </c>
      <c r="AS13" s="112">
        <f t="shared" si="10"/>
        <v>166.24358267363641</v>
      </c>
      <c r="AT13" s="112">
        <f t="shared" si="11"/>
        <v>146.0488569836688</v>
      </c>
    </row>
    <row r="14" spans="1:46" x14ac:dyDescent="0.3">
      <c r="A14" s="40"/>
      <c r="B14" s="54"/>
      <c r="C14" s="40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40"/>
      <c r="J14" s="107">
        <f t="shared" si="15"/>
        <v>89.10794757600766</v>
      </c>
      <c r="K14" s="107">
        <v>0.04</v>
      </c>
      <c r="L14" s="107">
        <f t="shared" si="1"/>
        <v>67.142212653311233</v>
      </c>
      <c r="M14" s="107">
        <f t="shared" si="2"/>
        <v>93.716141119886601</v>
      </c>
      <c r="N14" s="107">
        <f>J14*K14</f>
        <v>3.5643179030403065</v>
      </c>
      <c r="O14" s="107">
        <f t="shared" si="12"/>
        <v>6.2168715419732621</v>
      </c>
      <c r="P14" s="107"/>
      <c r="Q14" s="107"/>
      <c r="R14" s="107"/>
      <c r="S14" s="107"/>
      <c r="T14" s="107"/>
      <c r="U14" s="107">
        <f t="shared" si="3"/>
        <v>170.63954321821143</v>
      </c>
      <c r="V14" s="107">
        <v>38.4</v>
      </c>
      <c r="W14" s="107">
        <f t="shared" si="16"/>
        <v>6.6244848192000001</v>
      </c>
      <c r="X14" s="107"/>
      <c r="Y14" s="107">
        <f>Y13*(1+$B$3)</f>
        <v>4.4163232128000001</v>
      </c>
      <c r="Z14" s="107">
        <f>Z13*(1+$B$3)</f>
        <v>14.17446711569904</v>
      </c>
      <c r="AA14" s="107">
        <v>4.08</v>
      </c>
      <c r="AB14" s="107">
        <v>7.2</v>
      </c>
      <c r="AC14" s="107">
        <v>7.6</v>
      </c>
      <c r="AD14" s="107">
        <f t="shared" si="5"/>
        <v>6.0676666249659048</v>
      </c>
      <c r="AE14" s="107">
        <f t="shared" si="5"/>
        <v>4.7248223718996778</v>
      </c>
      <c r="AF14" s="107"/>
      <c r="AG14" s="107">
        <f t="shared" ref="AG14:AG23" si="17">12*2</f>
        <v>24</v>
      </c>
      <c r="AH14" s="107">
        <f t="shared" si="13"/>
        <v>7.7089207120468455</v>
      </c>
      <c r="AI14" s="107"/>
      <c r="AJ14" s="117">
        <f>理財目標費用終值!D13*(1+B3)</f>
        <v>87.036201587625655</v>
      </c>
      <c r="AK14" s="107"/>
      <c r="AL14" s="107">
        <f t="shared" si="6"/>
        <v>212.03288644423714</v>
      </c>
      <c r="AM14" s="110">
        <f t="shared" si="0"/>
        <v>-41.393343226025706</v>
      </c>
      <c r="AN14" s="110">
        <f t="shared" si="7"/>
        <v>47.714604349981954</v>
      </c>
      <c r="AO14" s="40"/>
      <c r="AP14" s="112">
        <f t="shared" si="8"/>
        <v>4.0285327591986739</v>
      </c>
      <c r="AQ14" s="112">
        <f t="shared" si="14"/>
        <v>2.7503999999999995</v>
      </c>
      <c r="AR14" s="112">
        <f t="shared" si="9"/>
        <v>187.47508261472814</v>
      </c>
      <c r="AS14" s="112">
        <f t="shared" si="10"/>
        <v>175.64372598058188</v>
      </c>
      <c r="AT14" s="112">
        <f t="shared" ref="AT14:AT27" si="18">AT13*(1+$B$7)</f>
        <v>151.89081126301556</v>
      </c>
    </row>
    <row r="15" spans="1:46" x14ac:dyDescent="0.3">
      <c r="A15" s="40"/>
      <c r="B15" s="55"/>
      <c r="C15" s="40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40"/>
      <c r="J15" s="107">
        <f t="shared" si="15"/>
        <v>47.714604349981954</v>
      </c>
      <c r="K15" s="107">
        <v>0.04</v>
      </c>
      <c r="L15" s="107">
        <f t="shared" si="1"/>
        <v>68.485056906377466</v>
      </c>
      <c r="M15" s="107">
        <f t="shared" si="2"/>
        <v>94.653302531085473</v>
      </c>
      <c r="N15" s="107">
        <v>4</v>
      </c>
      <c r="O15" s="107">
        <f t="shared" si="12"/>
        <v>6.3412089728127272</v>
      </c>
      <c r="P15" s="107"/>
      <c r="Q15" s="107"/>
      <c r="R15" s="107"/>
      <c r="S15" s="107"/>
      <c r="T15" s="107"/>
      <c r="U15" s="107">
        <f t="shared" si="3"/>
        <v>173.47956841027568</v>
      </c>
      <c r="V15" s="107">
        <v>38.4</v>
      </c>
      <c r="W15" s="107">
        <v>7</v>
      </c>
      <c r="X15" s="107"/>
      <c r="Y15" s="107">
        <v>5</v>
      </c>
      <c r="Z15" s="107">
        <f t="shared" ref="Z15:Z27" si="19">Z14*(1+$B$3)</f>
        <v>14.457956458013021</v>
      </c>
      <c r="AA15" s="107">
        <v>4.08</v>
      </c>
      <c r="AB15" s="107">
        <v>7.5</v>
      </c>
      <c r="AC15" s="107">
        <v>7.6</v>
      </c>
      <c r="AD15" s="107">
        <f t="shared" si="5"/>
        <v>6.1890199574652227</v>
      </c>
      <c r="AE15" s="107">
        <f t="shared" si="5"/>
        <v>4.8193188193376715</v>
      </c>
      <c r="AF15" s="107"/>
      <c r="AG15" s="107">
        <f t="shared" si="17"/>
        <v>24</v>
      </c>
      <c r="AH15" s="107">
        <f t="shared" si="13"/>
        <v>7.863099126287783</v>
      </c>
      <c r="AI15" s="107"/>
      <c r="AJ15" s="125"/>
      <c r="AK15" s="107"/>
      <c r="AL15" s="107">
        <f t="shared" si="6"/>
        <v>126.90939436110368</v>
      </c>
      <c r="AM15" s="110">
        <f t="shared" si="0"/>
        <v>46.570174049171996</v>
      </c>
      <c r="AN15" s="110">
        <f t="shared" si="7"/>
        <v>94.28477839915395</v>
      </c>
      <c r="AO15" s="40"/>
      <c r="AP15" s="112">
        <f t="shared" si="8"/>
        <v>4.1091034143826475</v>
      </c>
      <c r="AQ15" s="112">
        <f t="shared" si="14"/>
        <v>2.7503999999999995</v>
      </c>
      <c r="AR15" s="112">
        <f t="shared" si="9"/>
        <v>199.08318933369992</v>
      </c>
      <c r="AS15" s="112">
        <f t="shared" si="10"/>
        <v>185.41987501980518</v>
      </c>
      <c r="AT15" s="112">
        <f t="shared" si="18"/>
        <v>157.96644371353619</v>
      </c>
    </row>
    <row r="16" spans="1:46" x14ac:dyDescent="0.3">
      <c r="A16" s="40"/>
      <c r="B16" s="40"/>
      <c r="C16" s="40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40"/>
      <c r="J16" s="107">
        <f t="shared" si="15"/>
        <v>94.28477839915395</v>
      </c>
      <c r="K16" s="107">
        <v>0.04</v>
      </c>
      <c r="L16" s="107">
        <f t="shared" si="1"/>
        <v>69.854758044505019</v>
      </c>
      <c r="M16" s="107">
        <f t="shared" si="2"/>
        <v>95.599835556396329</v>
      </c>
      <c r="N16" s="107">
        <f t="shared" ref="N16:N53" si="20">J16*K16</f>
        <v>3.7713911359661583</v>
      </c>
      <c r="O16" s="107">
        <f t="shared" si="12"/>
        <v>6.4680331522689816</v>
      </c>
      <c r="P16" s="107"/>
      <c r="Q16" s="107"/>
      <c r="R16" s="107"/>
      <c r="S16" s="107"/>
      <c r="T16" s="107"/>
      <c r="U16" s="107">
        <f t="shared" si="3"/>
        <v>175.69401788913649</v>
      </c>
      <c r="V16" s="107">
        <v>38.4</v>
      </c>
      <c r="W16" s="107">
        <f>W15*(1+$B$3)</f>
        <v>7.1400000000000006</v>
      </c>
      <c r="X16" s="107"/>
      <c r="Y16" s="107">
        <f>Y15*(1+$B$3)</f>
        <v>5.0999999999999996</v>
      </c>
      <c r="Z16" s="107">
        <f t="shared" si="19"/>
        <v>14.747115587173282</v>
      </c>
      <c r="AA16" s="107">
        <v>4.08</v>
      </c>
      <c r="AB16" s="107">
        <v>7.8</v>
      </c>
      <c r="AC16" s="107">
        <v>7.6</v>
      </c>
      <c r="AD16" s="107">
        <f t="shared" si="5"/>
        <v>6.3128003566145274</v>
      </c>
      <c r="AE16" s="107">
        <f t="shared" si="5"/>
        <v>4.9157051957244251</v>
      </c>
      <c r="AF16" s="107"/>
      <c r="AG16" s="107">
        <f t="shared" si="17"/>
        <v>24</v>
      </c>
      <c r="AH16" s="107">
        <f t="shared" si="13"/>
        <v>8.0203611088135389</v>
      </c>
      <c r="AI16" s="107"/>
      <c r="AJ16" s="117"/>
      <c r="AK16" s="107"/>
      <c r="AL16" s="107">
        <f t="shared" si="6"/>
        <v>128.11598224832576</v>
      </c>
      <c r="AM16" s="110">
        <f t="shared" si="0"/>
        <v>47.578035640810725</v>
      </c>
      <c r="AN16" s="110">
        <f t="shared" si="7"/>
        <v>141.86281403996469</v>
      </c>
      <c r="AO16" s="40"/>
      <c r="AP16" s="112">
        <f t="shared" si="8"/>
        <v>4.1912854826703008</v>
      </c>
      <c r="AQ16" s="112">
        <f t="shared" si="14"/>
        <v>2.7503999999999995</v>
      </c>
      <c r="AR16" s="112">
        <f t="shared" si="9"/>
        <v>211.23780238971824</v>
      </c>
      <c r="AS16" s="112">
        <f t="shared" si="10"/>
        <v>195.58707002059739</v>
      </c>
      <c r="AT16" s="112">
        <f t="shared" si="18"/>
        <v>164.28510146207765</v>
      </c>
    </row>
    <row r="17" spans="1:46" x14ac:dyDescent="0.3">
      <c r="A17" s="40"/>
      <c r="B17" s="55"/>
      <c r="C17" s="40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40"/>
      <c r="J17" s="107">
        <f t="shared" si="15"/>
        <v>141.86281403996469</v>
      </c>
      <c r="K17" s="107">
        <v>0.04</v>
      </c>
      <c r="L17" s="107">
        <f t="shared" si="1"/>
        <v>71.251853205395122</v>
      </c>
      <c r="M17" s="107">
        <f t="shared" si="2"/>
        <v>96.555833911960292</v>
      </c>
      <c r="N17" s="107">
        <f t="shared" si="20"/>
        <v>5.6745125615985881</v>
      </c>
      <c r="O17" s="107">
        <f t="shared" si="12"/>
        <v>6.5973938153143612</v>
      </c>
      <c r="P17" s="107"/>
      <c r="Q17" s="107"/>
      <c r="R17" s="107"/>
      <c r="S17" s="107"/>
      <c r="T17" s="107"/>
      <c r="U17" s="107">
        <f t="shared" si="3"/>
        <v>180.07959349426835</v>
      </c>
      <c r="V17" s="107">
        <v>38.4</v>
      </c>
      <c r="W17" s="107">
        <f t="shared" si="16"/>
        <v>7.2828000000000008</v>
      </c>
      <c r="X17" s="107"/>
      <c r="Y17" s="107">
        <f>Y16*(1+$B$3)</f>
        <v>5.202</v>
      </c>
      <c r="Z17" s="107">
        <f t="shared" si="19"/>
        <v>15.042057898916747</v>
      </c>
      <c r="AA17" s="107">
        <v>4.08</v>
      </c>
      <c r="AB17" s="107">
        <v>8</v>
      </c>
      <c r="AC17" s="107">
        <v>7.6</v>
      </c>
      <c r="AD17" s="107">
        <f t="shared" si="5"/>
        <v>6.4390563637468183</v>
      </c>
      <c r="AE17" s="107">
        <f t="shared" si="5"/>
        <v>5.0140192996389139</v>
      </c>
      <c r="AF17" s="107"/>
      <c r="AG17" s="107">
        <f t="shared" si="17"/>
        <v>24</v>
      </c>
      <c r="AH17" s="107">
        <f t="shared" si="13"/>
        <v>8.1807683309898103</v>
      </c>
      <c r="AI17" s="107"/>
      <c r="AJ17" s="117"/>
      <c r="AK17" s="107"/>
      <c r="AL17" s="107">
        <f t="shared" si="6"/>
        <v>129.24070189329228</v>
      </c>
      <c r="AM17" s="110">
        <f t="shared" si="0"/>
        <v>50.838891600976069</v>
      </c>
      <c r="AN17" s="110">
        <f t="shared" si="7"/>
        <v>192.70170564094076</v>
      </c>
      <c r="AO17" s="40"/>
      <c r="AP17" s="112">
        <f t="shared" si="8"/>
        <v>4.2751111923237071</v>
      </c>
      <c r="AQ17" s="112">
        <f t="shared" si="14"/>
        <v>2.7503999999999995</v>
      </c>
      <c r="AR17" s="112">
        <f t="shared" si="9"/>
        <v>223.9624256776307</v>
      </c>
      <c r="AS17" s="112">
        <f t="shared" si="10"/>
        <v>206.16095282142132</v>
      </c>
      <c r="AT17" s="112">
        <f t="shared" si="18"/>
        <v>170.85650552056077</v>
      </c>
    </row>
    <row r="18" spans="1:46" x14ac:dyDescent="0.3">
      <c r="A18" s="40"/>
      <c r="B18" s="55"/>
      <c r="C18" s="40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40"/>
      <c r="J18" s="107">
        <f t="shared" si="15"/>
        <v>192.70170564094076</v>
      </c>
      <c r="K18" s="107">
        <v>0.04</v>
      </c>
      <c r="L18" s="107">
        <f t="shared" si="1"/>
        <v>72.676890269503019</v>
      </c>
      <c r="M18" s="107">
        <f t="shared" si="2"/>
        <v>97.521392251079902</v>
      </c>
      <c r="N18" s="107">
        <f t="shared" si="20"/>
        <v>7.7080682256376303</v>
      </c>
      <c r="O18" s="107">
        <f t="shared" si="12"/>
        <v>6.7293416916206485</v>
      </c>
      <c r="P18" s="107"/>
      <c r="Q18" s="107"/>
      <c r="R18" s="107"/>
      <c r="S18" s="107"/>
      <c r="T18" s="107"/>
      <c r="U18" s="107">
        <f t="shared" si="3"/>
        <v>184.63569243784119</v>
      </c>
      <c r="V18" s="107">
        <v>38.4</v>
      </c>
      <c r="W18" s="107">
        <f t="shared" si="16"/>
        <v>7.4284560000000006</v>
      </c>
      <c r="X18" s="107"/>
      <c r="Y18" s="107">
        <f>Y17*(1+$B$3)</f>
        <v>5.3060400000000003</v>
      </c>
      <c r="Z18" s="107">
        <f t="shared" si="19"/>
        <v>15.342899056895082</v>
      </c>
      <c r="AA18" s="107">
        <v>4.08</v>
      </c>
      <c r="AB18" s="107">
        <v>8.3000000000000007</v>
      </c>
      <c r="AC18" s="107">
        <v>7.6</v>
      </c>
      <c r="AD18" s="107">
        <f t="shared" si="5"/>
        <v>6.5678374910217547</v>
      </c>
      <c r="AE18" s="107">
        <f t="shared" si="5"/>
        <v>5.1142996856316927</v>
      </c>
      <c r="AF18" s="107"/>
      <c r="AG18" s="107">
        <f t="shared" si="17"/>
        <v>24</v>
      </c>
      <c r="AH18" s="107">
        <f t="shared" si="13"/>
        <v>8.3443836976096062</v>
      </c>
      <c r="AI18" s="107"/>
      <c r="AJ18" s="117"/>
      <c r="AK18" s="107"/>
      <c r="AL18" s="107">
        <f t="shared" si="6"/>
        <v>130.48391593115812</v>
      </c>
      <c r="AM18" s="110">
        <f t="shared" si="0"/>
        <v>54.151776506683063</v>
      </c>
      <c r="AN18" s="110">
        <f t="shared" si="7"/>
        <v>246.85348214762382</v>
      </c>
      <c r="AO18" s="40"/>
      <c r="AP18" s="112">
        <f t="shared" si="8"/>
        <v>4.3606134161701808</v>
      </c>
      <c r="AQ18" s="112">
        <f t="shared" si="14"/>
        <v>2.7503999999999995</v>
      </c>
      <c r="AR18" s="112">
        <f t="shared" si="9"/>
        <v>237.28153612090611</v>
      </c>
      <c r="AS18" s="112">
        <f t="shared" si="10"/>
        <v>217.15779093427818</v>
      </c>
      <c r="AT18" s="112">
        <f t="shared" si="18"/>
        <v>177.69076574138322</v>
      </c>
    </row>
    <row r="19" spans="1:46" x14ac:dyDescent="0.3">
      <c r="A19" s="40"/>
      <c r="B19" s="55"/>
      <c r="C19" s="40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40"/>
      <c r="J19" s="107">
        <f t="shared" si="15"/>
        <v>246.85348214762382</v>
      </c>
      <c r="K19" s="107">
        <v>0.04</v>
      </c>
      <c r="L19" s="107">
        <f t="shared" si="1"/>
        <v>74.130428074893075</v>
      </c>
      <c r="M19" s="107">
        <f t="shared" si="2"/>
        <v>98.496606173590706</v>
      </c>
      <c r="N19" s="107">
        <f t="shared" si="20"/>
        <v>9.8741392859049526</v>
      </c>
      <c r="O19" s="107">
        <f t="shared" si="12"/>
        <v>6.863928525453062</v>
      </c>
      <c r="P19" s="107"/>
      <c r="Q19" s="107"/>
      <c r="R19" s="107"/>
      <c r="S19" s="107"/>
      <c r="T19" s="107"/>
      <c r="U19" s="107">
        <f t="shared" si="3"/>
        <v>189.36510205984177</v>
      </c>
      <c r="V19" s="107"/>
      <c r="W19" s="107">
        <f t="shared" si="16"/>
        <v>7.5770251200000009</v>
      </c>
      <c r="X19" s="107"/>
      <c r="Y19" s="107">
        <f>Y18*(1+$B$3)</f>
        <v>5.4121608000000005</v>
      </c>
      <c r="Z19" s="107">
        <f t="shared" si="19"/>
        <v>15.649757038032984</v>
      </c>
      <c r="AA19" s="107">
        <v>4.08</v>
      </c>
      <c r="AB19" s="107">
        <v>8.5</v>
      </c>
      <c r="AC19" s="107">
        <v>7.6</v>
      </c>
      <c r="AD19" s="107">
        <f t="shared" si="5"/>
        <v>6.6991942408421901</v>
      </c>
      <c r="AE19" s="107">
        <f t="shared" si="5"/>
        <v>5.2165856793443268</v>
      </c>
      <c r="AF19" s="107"/>
      <c r="AG19" s="107">
        <f t="shared" si="17"/>
        <v>24</v>
      </c>
      <c r="AH19" s="107">
        <f t="shared" si="13"/>
        <v>8.5112713715617989</v>
      </c>
      <c r="AI19" s="107"/>
      <c r="AJ19" s="117"/>
      <c r="AK19" s="107"/>
      <c r="AL19" s="107">
        <f t="shared" si="6"/>
        <v>93.245994249781305</v>
      </c>
      <c r="AM19" s="110">
        <f t="shared" si="0"/>
        <v>96.11910781006047</v>
      </c>
      <c r="AN19" s="110">
        <f t="shared" si="7"/>
        <v>342.97258995768431</v>
      </c>
      <c r="AO19" s="40"/>
      <c r="AP19" s="112">
        <f t="shared" si="8"/>
        <v>4.4478256844935844</v>
      </c>
      <c r="AQ19" s="112">
        <f t="shared" si="14"/>
        <v>2.7503999999999995</v>
      </c>
      <c r="AR19" s="112">
        <f t="shared" si="9"/>
        <v>251.22062325023595</v>
      </c>
      <c r="AS19" s="112">
        <f t="shared" si="10"/>
        <v>228.59450257164934</v>
      </c>
      <c r="AT19" s="112">
        <f t="shared" si="18"/>
        <v>184.79839637103856</v>
      </c>
    </row>
    <row r="20" spans="1:46" x14ac:dyDescent="0.3">
      <c r="A20" s="40"/>
      <c r="B20" s="55"/>
      <c r="C20" s="40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40"/>
      <c r="J20" s="107">
        <f t="shared" si="15"/>
        <v>342.97258995768431</v>
      </c>
      <c r="K20" s="107">
        <v>0.04</v>
      </c>
      <c r="L20" s="107">
        <f t="shared" si="1"/>
        <v>75.613036636390945</v>
      </c>
      <c r="M20" s="107">
        <f t="shared" si="2"/>
        <v>99.48157223532661</v>
      </c>
      <c r="N20" s="107">
        <f t="shared" si="20"/>
        <v>13.718903598307373</v>
      </c>
      <c r="O20" s="107">
        <f t="shared" si="12"/>
        <v>7.0012070959621235</v>
      </c>
      <c r="P20" s="107"/>
      <c r="Q20" s="107"/>
      <c r="R20" s="107"/>
      <c r="S20" s="107"/>
      <c r="T20" s="107"/>
      <c r="U20" s="107">
        <f t="shared" si="3"/>
        <v>195.81471956598705</v>
      </c>
      <c r="V20" s="107"/>
      <c r="W20" s="107">
        <f t="shared" si="16"/>
        <v>7.7285656224000014</v>
      </c>
      <c r="X20" s="107"/>
      <c r="Y20" s="107">
        <f>Y19*(1+$B$3)</f>
        <v>5.5204040160000005</v>
      </c>
      <c r="Z20" s="107">
        <f t="shared" si="19"/>
        <v>15.962752178793645</v>
      </c>
      <c r="AA20" s="107">
        <v>4.08</v>
      </c>
      <c r="AB20" s="107">
        <v>8.8000000000000007</v>
      </c>
      <c r="AC20" s="107">
        <v>7.6</v>
      </c>
      <c r="AD20" s="107">
        <f t="shared" ref="AD20:AE27" si="21">AD19*(1+$B$3)</f>
        <v>6.8331781256590336</v>
      </c>
      <c r="AE20" s="107">
        <f t="shared" si="21"/>
        <v>5.3209173929312135</v>
      </c>
      <c r="AF20" s="107"/>
      <c r="AG20" s="107">
        <f t="shared" si="17"/>
        <v>24</v>
      </c>
      <c r="AH20" s="107">
        <f t="shared" si="13"/>
        <v>8.6814967989930345</v>
      </c>
      <c r="AI20" s="107"/>
      <c r="AJ20" s="117"/>
      <c r="AK20" s="107"/>
      <c r="AL20" s="107">
        <f t="shared" si="6"/>
        <v>94.52731413477693</v>
      </c>
      <c r="AM20" s="110">
        <f t="shared" si="0"/>
        <v>101.28740543121012</v>
      </c>
      <c r="AN20" s="110">
        <f t="shared" si="7"/>
        <v>444.25999538889442</v>
      </c>
      <c r="AO20" s="40"/>
      <c r="AP20" s="112">
        <f t="shared" si="8"/>
        <v>4.5367821981834568</v>
      </c>
      <c r="AQ20" s="112">
        <f t="shared" si="14"/>
        <v>2.7503999999999995</v>
      </c>
      <c r="AR20" s="112">
        <f t="shared" si="9"/>
        <v>265.80623037842884</v>
      </c>
      <c r="AS20" s="112">
        <f t="shared" si="10"/>
        <v>240.48868267451533</v>
      </c>
      <c r="AT20" s="112">
        <f t="shared" si="18"/>
        <v>192.19033222588013</v>
      </c>
    </row>
    <row r="21" spans="1:46" x14ac:dyDescent="0.3">
      <c r="A21" s="40"/>
      <c r="B21" s="55"/>
      <c r="C21" s="40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40"/>
      <c r="J21" s="107">
        <f t="shared" si="15"/>
        <v>444.25999538889442</v>
      </c>
      <c r="K21" s="107">
        <v>0.04</v>
      </c>
      <c r="L21" s="107">
        <f t="shared" si="1"/>
        <v>77.125297369118769</v>
      </c>
      <c r="M21" s="107">
        <f t="shared" si="2"/>
        <v>100.47638795767988</v>
      </c>
      <c r="N21" s="107">
        <f t="shared" si="20"/>
        <v>17.770399815555777</v>
      </c>
      <c r="O21" s="107">
        <f t="shared" ref="O21:Q36" si="22">O20*(1+$B$3)</f>
        <v>7.1412312378813665</v>
      </c>
      <c r="P21" s="107"/>
      <c r="Q21" s="107"/>
      <c r="R21" s="107"/>
      <c r="S21" s="107"/>
      <c r="T21" s="107"/>
      <c r="U21" s="107">
        <f t="shared" si="3"/>
        <v>202.51331638023578</v>
      </c>
      <c r="V21" s="107"/>
      <c r="W21" s="107">
        <v>8</v>
      </c>
      <c r="X21" s="107"/>
      <c r="Y21" s="107">
        <v>6</v>
      </c>
      <c r="Z21" s="107">
        <f t="shared" si="19"/>
        <v>16.282007222369518</v>
      </c>
      <c r="AA21" s="107">
        <v>4.08</v>
      </c>
      <c r="AB21" s="107">
        <v>9.1</v>
      </c>
      <c r="AC21" s="107">
        <v>7.6</v>
      </c>
      <c r="AD21" s="107">
        <f t="shared" si="21"/>
        <v>6.9698416881722141</v>
      </c>
      <c r="AE21" s="107">
        <f t="shared" si="21"/>
        <v>5.4273357407898377</v>
      </c>
      <c r="AF21" s="107"/>
      <c r="AG21" s="107">
        <f t="shared" si="17"/>
        <v>24</v>
      </c>
      <c r="AH21" s="107">
        <f t="shared" si="13"/>
        <v>8.8551267349728953</v>
      </c>
      <c r="AI21" s="107"/>
      <c r="AJ21" s="117"/>
      <c r="AK21" s="107"/>
      <c r="AL21" s="107">
        <f t="shared" si="6"/>
        <v>96.314311386304482</v>
      </c>
      <c r="AM21" s="110">
        <f t="shared" si="0"/>
        <v>106.1990049939313</v>
      </c>
      <c r="AN21" s="110">
        <f t="shared" si="7"/>
        <v>550.45900038282571</v>
      </c>
      <c r="AO21" s="40"/>
      <c r="AP21" s="112">
        <f t="shared" si="8"/>
        <v>4.6275178421471264</v>
      </c>
      <c r="AQ21" s="112">
        <f t="shared" si="14"/>
        <v>2.7503999999999995</v>
      </c>
      <c r="AR21" s="112">
        <f t="shared" si="9"/>
        <v>281.06599743571314</v>
      </c>
      <c r="AS21" s="112">
        <f t="shared" si="10"/>
        <v>252.85862998149597</v>
      </c>
      <c r="AT21" s="112">
        <f t="shared" si="18"/>
        <v>199.87794551491533</v>
      </c>
    </row>
    <row r="22" spans="1:46" x14ac:dyDescent="0.3">
      <c r="A22" s="40"/>
      <c r="B22" s="55"/>
      <c r="C22" s="40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J22" s="107">
        <f t="shared" si="15"/>
        <v>550.45900038282571</v>
      </c>
      <c r="K22" s="107">
        <v>0.04</v>
      </c>
      <c r="L22" s="107">
        <f t="shared" si="1"/>
        <v>78.66780331650115</v>
      </c>
      <c r="M22" s="107">
        <f t="shared" si="2"/>
        <v>101.48115183725668</v>
      </c>
      <c r="N22" s="107">
        <f t="shared" si="20"/>
        <v>22.018360015313029</v>
      </c>
      <c r="O22" s="107">
        <f t="shared" si="22"/>
        <v>7.2840558626389935</v>
      </c>
      <c r="P22" s="107"/>
      <c r="Q22" s="107"/>
      <c r="R22" s="107"/>
      <c r="S22" s="107"/>
      <c r="T22" s="107"/>
      <c r="U22" s="107">
        <f t="shared" si="3"/>
        <v>209.45137103170981</v>
      </c>
      <c r="V22" s="107"/>
      <c r="W22" s="107">
        <f>W21*(1+$B$3)</f>
        <v>8.16</v>
      </c>
      <c r="X22" s="107"/>
      <c r="Y22" s="107">
        <f>Y21*(1+$B$3)</f>
        <v>6.12</v>
      </c>
      <c r="Z22" s="107">
        <f t="shared" si="19"/>
        <v>16.607647366816909</v>
      </c>
      <c r="AA22" s="107">
        <v>4.08</v>
      </c>
      <c r="AB22" s="107">
        <v>9.4</v>
      </c>
      <c r="AC22" s="107">
        <v>7.6</v>
      </c>
      <c r="AD22" s="107">
        <f t="shared" si="21"/>
        <v>7.1092385219356586</v>
      </c>
      <c r="AE22" s="107">
        <f t="shared" si="21"/>
        <v>5.535882455605635</v>
      </c>
      <c r="AF22" s="107"/>
      <c r="AG22" s="107">
        <f t="shared" si="17"/>
        <v>24</v>
      </c>
      <c r="AH22" s="107">
        <f t="shared" si="13"/>
        <v>9.032229269672353</v>
      </c>
      <c r="AI22" s="107"/>
      <c r="AJ22" s="117"/>
      <c r="AK22" s="107"/>
      <c r="AL22" s="107">
        <f t="shared" si="6"/>
        <v>97.644997614030558</v>
      </c>
      <c r="AM22" s="110">
        <f t="shared" si="0"/>
        <v>111.80637341767925</v>
      </c>
      <c r="AN22" s="110">
        <f t="shared" si="7"/>
        <v>662.2653738005049</v>
      </c>
      <c r="AO22" s="40"/>
      <c r="AP22" s="112">
        <f t="shared" si="8"/>
        <v>4.7200681989900692</v>
      </c>
      <c r="AQ22" s="112">
        <f t="shared" si="14"/>
        <v>2.7503999999999995</v>
      </c>
      <c r="AR22" s="112">
        <f t="shared" si="9"/>
        <v>297.02870553213177</v>
      </c>
      <c r="AS22" s="112">
        <f t="shared" si="10"/>
        <v>265.72337518075585</v>
      </c>
      <c r="AT22" s="112">
        <f t="shared" si="18"/>
        <v>207.87306333551194</v>
      </c>
    </row>
    <row r="23" spans="1:46" x14ac:dyDescent="0.3">
      <c r="A23" s="40"/>
      <c r="B23" s="55"/>
      <c r="C23" s="40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40" t="s">
        <v>137</v>
      </c>
      <c r="J23" s="107">
        <f t="shared" si="15"/>
        <v>662.2653738005049</v>
      </c>
      <c r="K23" s="107">
        <v>0.04</v>
      </c>
      <c r="L23" s="107">
        <f t="shared" si="1"/>
        <v>80.241159382831171</v>
      </c>
      <c r="M23" s="107">
        <f t="shared" si="2"/>
        <v>102.49596335562924</v>
      </c>
      <c r="N23" s="107">
        <f t="shared" si="20"/>
        <v>26.490614952020195</v>
      </c>
      <c r="O23" s="107">
        <f t="shared" si="22"/>
        <v>7.4297369798917732</v>
      </c>
      <c r="P23" s="107"/>
      <c r="Q23" s="107"/>
      <c r="R23" s="107"/>
      <c r="S23" s="107"/>
      <c r="T23" s="107"/>
      <c r="U23" s="107">
        <f t="shared" si="3"/>
        <v>216.65747467037238</v>
      </c>
      <c r="V23" s="107"/>
      <c r="W23" s="107">
        <f t="shared" si="16"/>
        <v>8.3231999999999999</v>
      </c>
      <c r="X23" s="107"/>
      <c r="Y23" s="107">
        <f>Y22*(1+$B$3)</f>
        <v>6.2423999999999999</v>
      </c>
      <c r="Z23" s="107">
        <f t="shared" si="19"/>
        <v>16.939800314153249</v>
      </c>
      <c r="AA23" s="107">
        <v>4.08</v>
      </c>
      <c r="AB23" s="107">
        <v>9.6999999999999993</v>
      </c>
      <c r="AC23" s="107">
        <v>7.6</v>
      </c>
      <c r="AD23" s="107">
        <f t="shared" si="21"/>
        <v>7.2514232923743718</v>
      </c>
      <c r="AE23" s="107">
        <f t="shared" si="21"/>
        <v>5.6466001047177476</v>
      </c>
      <c r="AF23" s="107"/>
      <c r="AG23" s="107">
        <f t="shared" si="17"/>
        <v>24</v>
      </c>
      <c r="AH23" s="107">
        <f t="shared" si="13"/>
        <v>9.2128738550657996</v>
      </c>
      <c r="AI23" s="107"/>
      <c r="AJ23" s="117">
        <f>理財目標費用終值!D14</f>
        <v>104.0163177184848</v>
      </c>
      <c r="AK23" s="107"/>
      <c r="AL23" s="107">
        <f t="shared" si="6"/>
        <v>203.01261528479597</v>
      </c>
      <c r="AM23" s="110">
        <f t="shared" si="0"/>
        <v>13.64485938557641</v>
      </c>
      <c r="AN23" s="110">
        <f t="shared" si="7"/>
        <v>675.91023318608131</v>
      </c>
      <c r="AO23" s="40"/>
      <c r="AP23" s="112">
        <f t="shared" si="8"/>
        <v>4.8144695629698697</v>
      </c>
      <c r="AQ23" s="112">
        <f t="shared" si="14"/>
        <v>2.7503999999999995</v>
      </c>
      <c r="AR23" s="112">
        <f t="shared" si="9"/>
        <v>313.72432331638691</v>
      </c>
      <c r="AS23" s="112">
        <f t="shared" si="10"/>
        <v>279.10271018798613</v>
      </c>
      <c r="AT23" s="112">
        <f t="shared" si="18"/>
        <v>216.18798586893243</v>
      </c>
    </row>
    <row r="24" spans="1:46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J24" s="107">
        <f t="shared" si="15"/>
        <v>675.91023318608131</v>
      </c>
      <c r="K24" s="107">
        <v>0.04</v>
      </c>
      <c r="L24" s="107">
        <f t="shared" si="1"/>
        <v>81.845982570487791</v>
      </c>
      <c r="M24" s="107">
        <f t="shared" si="2"/>
        <v>103.52092298918554</v>
      </c>
      <c r="N24" s="107">
        <f t="shared" si="20"/>
        <v>27.036409327443252</v>
      </c>
      <c r="O24" s="107">
        <f t="shared" si="22"/>
        <v>7.5783317194896087</v>
      </c>
      <c r="P24" s="107"/>
      <c r="Q24" s="107"/>
      <c r="R24" s="107"/>
      <c r="S24" s="112"/>
      <c r="T24" s="112"/>
      <c r="U24" s="107">
        <f t="shared" si="3"/>
        <v>219.9816466066062</v>
      </c>
      <c r="V24" s="112"/>
      <c r="W24" s="107">
        <f t="shared" si="16"/>
        <v>8.4896639999999994</v>
      </c>
      <c r="X24" s="112"/>
      <c r="Y24" s="107">
        <f>Y23*(1+$B$3)</f>
        <v>6.367248</v>
      </c>
      <c r="Z24" s="107">
        <f t="shared" si="19"/>
        <v>17.278596320436314</v>
      </c>
      <c r="AA24" s="107">
        <v>4.08</v>
      </c>
      <c r="AB24" s="107">
        <v>10</v>
      </c>
      <c r="AC24" s="107">
        <v>6.4</v>
      </c>
      <c r="AD24" s="107">
        <f t="shared" si="21"/>
        <v>7.3964517582218594</v>
      </c>
      <c r="AE24" s="107">
        <f t="shared" si="21"/>
        <v>5.7595321068121024</v>
      </c>
      <c r="AF24" s="112"/>
      <c r="AG24" s="107"/>
      <c r="AH24" s="112"/>
      <c r="AI24" s="112"/>
      <c r="AJ24" s="112"/>
      <c r="AK24" s="112"/>
      <c r="AL24" s="107">
        <f t="shared" si="6"/>
        <v>65.771492185470265</v>
      </c>
      <c r="AM24" s="110">
        <f t="shared" si="0"/>
        <v>154.21015442113594</v>
      </c>
      <c r="AN24" s="110">
        <f t="shared" si="7"/>
        <v>830.12038760721725</v>
      </c>
      <c r="AP24" s="112">
        <f t="shared" si="8"/>
        <v>4.9107589542292676</v>
      </c>
      <c r="AQ24" s="112">
        <f t="shared" si="14"/>
        <v>2.7503999999999995</v>
      </c>
      <c r="AR24" s="112">
        <f t="shared" si="9"/>
        <v>331.18405520327167</v>
      </c>
      <c r="AS24" s="112">
        <f t="shared" si="10"/>
        <v>293.0172185955056</v>
      </c>
      <c r="AT24" s="112">
        <f t="shared" si="18"/>
        <v>224.83550530368973</v>
      </c>
    </row>
    <row r="25" spans="1:46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J25" s="107">
        <f t="shared" si="15"/>
        <v>830.12038760721725</v>
      </c>
      <c r="K25" s="107">
        <v>0.04</v>
      </c>
      <c r="L25" s="107">
        <f t="shared" si="1"/>
        <v>83.482902221897547</v>
      </c>
      <c r="M25" s="107">
        <f t="shared" si="2"/>
        <v>104.5561322190774</v>
      </c>
      <c r="N25" s="107">
        <f t="shared" si="20"/>
        <v>33.204815504288689</v>
      </c>
      <c r="O25" s="107">
        <f t="shared" si="22"/>
        <v>7.7298983538794008</v>
      </c>
      <c r="P25" s="107"/>
      <c r="Q25" s="107"/>
      <c r="R25" s="107"/>
      <c r="S25" s="112"/>
      <c r="T25" s="112"/>
      <c r="U25" s="107">
        <f t="shared" si="3"/>
        <v>228.97374829914304</v>
      </c>
      <c r="V25" s="112"/>
      <c r="W25" s="107">
        <f t="shared" si="16"/>
        <v>8.6594572799999998</v>
      </c>
      <c r="X25" s="112"/>
      <c r="Y25" s="107">
        <f>Y24*(1+$B$3)</f>
        <v>6.4945929600000003</v>
      </c>
      <c r="Z25" s="107">
        <f t="shared" si="19"/>
        <v>17.624168246845041</v>
      </c>
      <c r="AA25" s="107">
        <v>4.08</v>
      </c>
      <c r="AB25" s="107">
        <v>10.3</v>
      </c>
      <c r="AC25" s="107">
        <v>6.4</v>
      </c>
      <c r="AD25" s="107">
        <f t="shared" si="21"/>
        <v>7.5443807933862965</v>
      </c>
      <c r="AE25" s="107">
        <f t="shared" si="21"/>
        <v>5.8747227489483445</v>
      </c>
      <c r="AF25" s="112"/>
      <c r="AG25" s="112"/>
      <c r="AH25" s="112"/>
      <c r="AI25" s="112"/>
      <c r="AJ25" s="112"/>
      <c r="AK25" s="112"/>
      <c r="AL25" s="107">
        <f t="shared" si="6"/>
        <v>66.977322029179689</v>
      </c>
      <c r="AM25" s="110">
        <f t="shared" si="0"/>
        <v>161.99642626996337</v>
      </c>
      <c r="AN25" s="110">
        <f t="shared" si="7"/>
        <v>992.11681387718068</v>
      </c>
      <c r="AP25" s="112">
        <f t="shared" si="8"/>
        <v>5.0089741333138527</v>
      </c>
      <c r="AQ25" s="112">
        <f t="shared" si="14"/>
        <v>2.7503999999999995</v>
      </c>
      <c r="AR25" s="112">
        <f t="shared" si="9"/>
        <v>349.44039154471642</v>
      </c>
      <c r="AS25" s="112">
        <f t="shared" si="10"/>
        <v>307.48830733932584</v>
      </c>
      <c r="AT25" s="112">
        <f t="shared" si="18"/>
        <v>233.82892551583731</v>
      </c>
    </row>
    <row r="26" spans="1:46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J26" s="107">
        <f t="shared" si="15"/>
        <v>992.11681387718068</v>
      </c>
      <c r="K26" s="107">
        <v>0.04</v>
      </c>
      <c r="L26" s="107">
        <f t="shared" si="1"/>
        <v>85.152560266335499</v>
      </c>
      <c r="M26" s="107">
        <f t="shared" si="2"/>
        <v>105.60169354126818</v>
      </c>
      <c r="N26" s="107">
        <f t="shared" si="20"/>
        <v>39.684672555087225</v>
      </c>
      <c r="O26" s="107">
        <f t="shared" si="22"/>
        <v>7.8844963209569894</v>
      </c>
      <c r="P26" s="107"/>
      <c r="Q26" s="107"/>
      <c r="R26" s="107"/>
      <c r="S26" s="112"/>
      <c r="T26" s="112"/>
      <c r="U26" s="107">
        <f t="shared" si="3"/>
        <v>238.32342268364789</v>
      </c>
      <c r="V26" s="112"/>
      <c r="W26" s="107">
        <f t="shared" si="16"/>
        <v>8.8326464256000001</v>
      </c>
      <c r="X26" s="112"/>
      <c r="Y26" s="107">
        <f>Y25*(1+$B$3)</f>
        <v>6.6244848192000001</v>
      </c>
      <c r="Z26" s="107">
        <f t="shared" si="19"/>
        <v>17.976651611781943</v>
      </c>
      <c r="AA26" s="107">
        <v>4.08</v>
      </c>
      <c r="AB26" s="107">
        <v>10.6</v>
      </c>
      <c r="AC26" s="107">
        <v>6.4</v>
      </c>
      <c r="AD26" s="107">
        <f t="shared" si="21"/>
        <v>7.6952684092540222</v>
      </c>
      <c r="AE26" s="107">
        <f t="shared" si="21"/>
        <v>5.9922172039273116</v>
      </c>
      <c r="AF26" s="112"/>
      <c r="AG26" s="112"/>
      <c r="AH26" s="112"/>
      <c r="AI26" s="112"/>
      <c r="AJ26" s="112"/>
      <c r="AK26" s="112"/>
      <c r="AL26" s="107">
        <f t="shared" si="6"/>
        <v>68.201268469763278</v>
      </c>
      <c r="AM26" s="110">
        <f t="shared" si="0"/>
        <v>170.12215421388461</v>
      </c>
      <c r="AN26" s="110">
        <f t="shared" si="7"/>
        <v>1162.2389680910653</v>
      </c>
      <c r="AP26" s="112">
        <f t="shared" si="8"/>
        <v>5.1091536159801301</v>
      </c>
      <c r="AQ26" s="112">
        <f t="shared" si="14"/>
        <v>2.7503999999999995</v>
      </c>
      <c r="AR26" s="112">
        <f t="shared" si="9"/>
        <v>368.5271608224852</v>
      </c>
      <c r="AS26" s="112">
        <f t="shared" si="10"/>
        <v>322.53823963289892</v>
      </c>
      <c r="AT26" s="112">
        <f t="shared" si="18"/>
        <v>243.1820825364708</v>
      </c>
    </row>
    <row r="27" spans="1:46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J27" s="107">
        <f t="shared" si="15"/>
        <v>1162.2389680910653</v>
      </c>
      <c r="K27" s="107">
        <v>0.04</v>
      </c>
      <c r="L27" s="107">
        <f t="shared" si="1"/>
        <v>86.855611471662215</v>
      </c>
      <c r="M27" s="107">
        <f t="shared" si="2"/>
        <v>106.65771047668086</v>
      </c>
      <c r="N27" s="107">
        <f t="shared" si="20"/>
        <v>46.489558723642617</v>
      </c>
      <c r="O27" s="107">
        <f t="shared" si="22"/>
        <v>8.0421862473761294</v>
      </c>
      <c r="P27" s="107"/>
      <c r="Q27" s="107"/>
      <c r="R27" s="107"/>
      <c r="S27" s="112"/>
      <c r="T27" s="112"/>
      <c r="U27" s="107">
        <f t="shared" si="3"/>
        <v>248.0450669193618</v>
      </c>
      <c r="V27" s="112"/>
      <c r="W27" s="107">
        <v>9</v>
      </c>
      <c r="X27" s="112"/>
      <c r="Y27" s="107">
        <v>7</v>
      </c>
      <c r="Z27" s="107">
        <f t="shared" si="19"/>
        <v>18.336184644017582</v>
      </c>
      <c r="AA27" s="107">
        <v>4.08</v>
      </c>
      <c r="AB27" s="107">
        <v>10.9</v>
      </c>
      <c r="AC27" s="107">
        <v>6.4</v>
      </c>
      <c r="AD27" s="107">
        <f t="shared" si="21"/>
        <v>7.8491737774391028</v>
      </c>
      <c r="AE27" s="107">
        <f t="shared" si="21"/>
        <v>6.1120615480058582</v>
      </c>
      <c r="AF27" s="112"/>
      <c r="AG27" s="112"/>
      <c r="AH27" s="112"/>
      <c r="AI27" s="112"/>
      <c r="AJ27" s="112"/>
      <c r="AK27" s="112"/>
      <c r="AL27" s="107">
        <f t="shared" si="6"/>
        <v>69.677419969462534</v>
      </c>
      <c r="AM27" s="110">
        <f t="shared" si="0"/>
        <v>178.36764694989927</v>
      </c>
      <c r="AN27" s="110">
        <f t="shared" si="7"/>
        <v>1340.6066150409647</v>
      </c>
      <c r="AP27" s="112">
        <f t="shared" si="8"/>
        <v>5.211336688299733</v>
      </c>
      <c r="AQ27" s="112">
        <f t="shared" si="14"/>
        <v>2.7503999999999995</v>
      </c>
      <c r="AR27" s="112">
        <f t="shared" si="9"/>
        <v>388.47958394368436</v>
      </c>
      <c r="AS27" s="112">
        <f t="shared" si="10"/>
        <v>338.19016921821492</v>
      </c>
      <c r="AT27" s="112">
        <f t="shared" si="18"/>
        <v>252.90936583792964</v>
      </c>
    </row>
    <row r="28" spans="1:46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t="s">
        <v>135</v>
      </c>
      <c r="J28" s="107">
        <f t="shared" si="15"/>
        <v>1340.6066150409647</v>
      </c>
      <c r="K28" s="107">
        <v>0.02</v>
      </c>
      <c r="L28" s="112"/>
      <c r="M28" s="112"/>
      <c r="N28" s="107">
        <f t="shared" si="20"/>
        <v>26.812132300819293</v>
      </c>
      <c r="O28" s="107">
        <f t="shared" si="22"/>
        <v>8.2030299723236517</v>
      </c>
      <c r="P28" s="112">
        <v>34.927080000000004</v>
      </c>
      <c r="Q28" s="112">
        <v>29.131319999999995</v>
      </c>
      <c r="R28" s="112">
        <f>PMT(0.01/12,20*12,-AR27,,1)*12</f>
        <v>21.421294804000734</v>
      </c>
      <c r="S28" s="112">
        <f>PMT(0.01/12,20*12,-AS27,,1)*12</f>
        <v>18.648267795942825</v>
      </c>
      <c r="T28" s="177">
        <v>0</v>
      </c>
      <c r="U28" s="107">
        <f t="shared" si="3"/>
        <v>139.14312487308652</v>
      </c>
      <c r="V28" s="112"/>
      <c r="W28" s="107"/>
      <c r="X28" s="112"/>
      <c r="Y28" s="107"/>
      <c r="Z28" s="107"/>
      <c r="AA28" s="107"/>
      <c r="AB28" s="112"/>
      <c r="AC28" s="107">
        <v>4.2</v>
      </c>
      <c r="AD28" s="112"/>
      <c r="AE28" s="112"/>
      <c r="AF28" s="112"/>
      <c r="AG28" s="112"/>
      <c r="AH28" s="112"/>
      <c r="AI28" s="107">
        <v>118.12363160146052</v>
      </c>
      <c r="AJ28" s="112"/>
      <c r="AK28" s="107"/>
      <c r="AL28" s="107">
        <f t="shared" si="6"/>
        <v>122.32363160146052</v>
      </c>
      <c r="AM28" s="110">
        <f t="shared" si="0"/>
        <v>16.819493271626001</v>
      </c>
      <c r="AN28" s="110">
        <f t="shared" si="7"/>
        <v>1357.4261083125907</v>
      </c>
    </row>
    <row r="29" spans="1:46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J29" s="107">
        <f t="shared" si="15"/>
        <v>1357.4261083125907</v>
      </c>
      <c r="K29" s="107">
        <v>0.02</v>
      </c>
      <c r="L29" s="112"/>
      <c r="M29" s="112"/>
      <c r="N29" s="107">
        <f t="shared" si="20"/>
        <v>27.148522166251816</v>
      </c>
      <c r="O29" s="107">
        <f t="shared" si="22"/>
        <v>8.3670905717701256</v>
      </c>
      <c r="P29" s="112">
        <f>P28*(1+$B$3)</f>
        <v>35.625621600000002</v>
      </c>
      <c r="Q29" s="112">
        <f>Q28*(1+$B$3)</f>
        <v>29.713946399999994</v>
      </c>
      <c r="R29" s="107">
        <f>R28</f>
        <v>21.421294804000734</v>
      </c>
      <c r="S29" s="112">
        <f>S28</f>
        <v>18.648267795942825</v>
      </c>
      <c r="T29" s="112"/>
      <c r="U29" s="107">
        <f t="shared" si="3"/>
        <v>140.92474333796551</v>
      </c>
      <c r="V29" s="112"/>
      <c r="W29" s="107"/>
      <c r="X29" s="112"/>
      <c r="Y29" s="107"/>
      <c r="Z29" s="112"/>
      <c r="AA29" s="112"/>
      <c r="AB29" s="112"/>
      <c r="AC29" s="107">
        <v>4.2</v>
      </c>
      <c r="AD29" s="112"/>
      <c r="AE29" s="112"/>
      <c r="AF29" s="112"/>
      <c r="AG29" s="112"/>
      <c r="AH29" s="112"/>
      <c r="AI29" s="107">
        <f>AI28*(1+$B$3)</f>
        <v>120.48610423348973</v>
      </c>
      <c r="AJ29" s="112"/>
      <c r="AK29" s="112"/>
      <c r="AL29" s="107">
        <f t="shared" si="6"/>
        <v>124.68610423348973</v>
      </c>
      <c r="AM29" s="110">
        <f t="shared" si="0"/>
        <v>16.23863910447578</v>
      </c>
      <c r="AN29" s="110">
        <f t="shared" si="7"/>
        <v>1373.6647474170666</v>
      </c>
    </row>
    <row r="30" spans="1:46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J30" s="107">
        <f t="shared" si="15"/>
        <v>1373.6647474170666</v>
      </c>
      <c r="K30" s="107">
        <v>0.02</v>
      </c>
      <c r="L30" s="112"/>
      <c r="M30" s="112"/>
      <c r="N30" s="107">
        <f t="shared" si="20"/>
        <v>27.473294948341334</v>
      </c>
      <c r="O30" s="107">
        <f t="shared" si="22"/>
        <v>8.5344323832055284</v>
      </c>
      <c r="P30" s="112">
        <f t="shared" si="22"/>
        <v>36.338134032000006</v>
      </c>
      <c r="Q30" s="112">
        <f t="shared" si="22"/>
        <v>30.308225327999995</v>
      </c>
      <c r="R30" s="107">
        <f t="shared" ref="R30:S45" si="23">R29</f>
        <v>21.421294804000734</v>
      </c>
      <c r="S30" s="112">
        <f t="shared" si="23"/>
        <v>18.648267795942825</v>
      </c>
      <c r="T30" s="112"/>
      <c r="U30" s="107">
        <f t="shared" si="3"/>
        <v>142.72364929149043</v>
      </c>
      <c r="V30" s="112"/>
      <c r="W30" s="107"/>
      <c r="X30" s="112"/>
      <c r="Y30" s="107"/>
      <c r="Z30" s="112"/>
      <c r="AA30" s="112"/>
      <c r="AB30" s="112"/>
      <c r="AC30" s="107">
        <v>4.2</v>
      </c>
      <c r="AD30" s="112"/>
      <c r="AE30" s="112"/>
      <c r="AF30" s="112"/>
      <c r="AG30" s="112"/>
      <c r="AH30" s="112"/>
      <c r="AI30" s="107">
        <f>AI29*(1+$B$3)</f>
        <v>122.89582631815952</v>
      </c>
      <c r="AJ30" s="112"/>
      <c r="AK30" s="112"/>
      <c r="AL30" s="107">
        <f t="shared" si="6"/>
        <v>127.09582631815952</v>
      </c>
      <c r="AM30" s="110">
        <f t="shared" si="0"/>
        <v>15.627822973330908</v>
      </c>
      <c r="AN30" s="110">
        <f t="shared" si="7"/>
        <v>1389.2925703903975</v>
      </c>
    </row>
    <row r="31" spans="1:46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J31" s="107">
        <f t="shared" si="15"/>
        <v>1389.2925703903975</v>
      </c>
      <c r="K31" s="107">
        <v>0.02</v>
      </c>
      <c r="L31" s="112"/>
      <c r="M31" s="112"/>
      <c r="N31" s="107">
        <f t="shared" si="20"/>
        <v>27.78585140780795</v>
      </c>
      <c r="O31" s="107">
        <f t="shared" si="22"/>
        <v>8.7051210308696394</v>
      </c>
      <c r="P31" s="112">
        <f t="shared" si="22"/>
        <v>37.064896712640007</v>
      </c>
      <c r="Q31" s="112">
        <f t="shared" si="22"/>
        <v>30.914389834559994</v>
      </c>
      <c r="R31" s="107">
        <f t="shared" si="23"/>
        <v>21.421294804000734</v>
      </c>
      <c r="S31" s="112">
        <f t="shared" si="23"/>
        <v>18.648267795942825</v>
      </c>
      <c r="T31" s="112"/>
      <c r="U31" s="107">
        <f t="shared" si="3"/>
        <v>144.53982158582116</v>
      </c>
      <c r="V31" s="112"/>
      <c r="W31" s="107"/>
      <c r="X31" s="112"/>
      <c r="Y31" s="107"/>
      <c r="Z31" s="112"/>
      <c r="AA31" s="112"/>
      <c r="AB31" s="112"/>
      <c r="AC31" s="107">
        <v>4.2</v>
      </c>
      <c r="AD31" s="112"/>
      <c r="AE31" s="112"/>
      <c r="AF31" s="112"/>
      <c r="AG31" s="112"/>
      <c r="AH31" s="112"/>
      <c r="AI31" s="107">
        <f t="shared" ref="AI31:AI53" si="24">AI30*(1+$B$3)</f>
        <v>125.35374284452271</v>
      </c>
      <c r="AJ31" s="112"/>
      <c r="AK31" s="112"/>
      <c r="AL31" s="107">
        <f t="shared" si="6"/>
        <v>129.5537428445227</v>
      </c>
      <c r="AM31" s="110">
        <f t="shared" si="0"/>
        <v>14.986078741298456</v>
      </c>
      <c r="AN31" s="110">
        <f t="shared" si="7"/>
        <v>1404.2786491316961</v>
      </c>
    </row>
    <row r="32" spans="1:46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J32" s="107">
        <f t="shared" si="15"/>
        <v>1404.2786491316961</v>
      </c>
      <c r="K32" s="107">
        <v>0.02</v>
      </c>
      <c r="L32" s="112"/>
      <c r="M32" s="112"/>
      <c r="N32" s="107">
        <f t="shared" si="20"/>
        <v>28.08557298263392</v>
      </c>
      <c r="O32" s="107">
        <f t="shared" si="22"/>
        <v>8.8792234514870323</v>
      </c>
      <c r="P32" s="112">
        <f t="shared" si="22"/>
        <v>37.806194646892806</v>
      </c>
      <c r="Q32" s="112">
        <f t="shared" si="22"/>
        <v>31.532677631251193</v>
      </c>
      <c r="R32" s="107">
        <f t="shared" si="23"/>
        <v>21.421294804000734</v>
      </c>
      <c r="S32" s="112">
        <f t="shared" si="23"/>
        <v>18.648267795942825</v>
      </c>
      <c r="T32" s="112"/>
      <c r="U32" s="107">
        <f t="shared" si="3"/>
        <v>146.3732313122085</v>
      </c>
      <c r="V32" s="112"/>
      <c r="W32" s="107"/>
      <c r="X32" s="112"/>
      <c r="Y32" s="107"/>
      <c r="Z32" s="112"/>
      <c r="AA32" s="112"/>
      <c r="AB32" s="112"/>
      <c r="AC32" s="107">
        <v>4.2</v>
      </c>
      <c r="AD32" s="112"/>
      <c r="AE32" s="112"/>
      <c r="AF32" s="112"/>
      <c r="AG32" s="112"/>
      <c r="AH32" s="112"/>
      <c r="AI32" s="107">
        <f t="shared" si="24"/>
        <v>127.86081770141317</v>
      </c>
      <c r="AJ32" s="112"/>
      <c r="AK32" s="112"/>
      <c r="AL32" s="107">
        <f t="shared" si="6"/>
        <v>132.06081770141316</v>
      </c>
      <c r="AM32" s="110">
        <f t="shared" si="0"/>
        <v>14.312413610795346</v>
      </c>
      <c r="AN32" s="110">
        <f t="shared" si="7"/>
        <v>1418.5910627424914</v>
      </c>
    </row>
    <row r="33" spans="4:40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J33" s="107">
        <f t="shared" si="15"/>
        <v>1418.5910627424914</v>
      </c>
      <c r="K33" s="107">
        <v>0.02</v>
      </c>
      <c r="L33" s="112"/>
      <c r="M33" s="112"/>
      <c r="N33" s="107">
        <f t="shared" si="20"/>
        <v>28.371821254849831</v>
      </c>
      <c r="O33" s="107">
        <f t="shared" si="22"/>
        <v>9.0568079205167731</v>
      </c>
      <c r="P33" s="112">
        <f t="shared" si="22"/>
        <v>38.562318539830663</v>
      </c>
      <c r="Q33" s="112">
        <f t="shared" si="22"/>
        <v>32.163331183876217</v>
      </c>
      <c r="R33" s="107">
        <f t="shared" si="23"/>
        <v>21.421294804000734</v>
      </c>
      <c r="S33" s="112">
        <f t="shared" si="23"/>
        <v>18.648267795942825</v>
      </c>
      <c r="T33" s="112"/>
      <c r="U33" s="107">
        <f t="shared" si="3"/>
        <v>148.22384149901703</v>
      </c>
      <c r="V33" s="112"/>
      <c r="W33" s="107"/>
      <c r="X33" s="112"/>
      <c r="Y33" s="107"/>
      <c r="Z33" s="112"/>
      <c r="AA33" s="112"/>
      <c r="AB33" s="112"/>
      <c r="AC33" s="107">
        <v>4.2</v>
      </c>
      <c r="AD33" s="112"/>
      <c r="AE33" s="112"/>
      <c r="AF33" s="112"/>
      <c r="AG33" s="112"/>
      <c r="AH33" s="112"/>
      <c r="AI33" s="107">
        <f t="shared" si="24"/>
        <v>130.41803405544144</v>
      </c>
      <c r="AJ33" s="112"/>
      <c r="AK33" s="112"/>
      <c r="AL33" s="107">
        <f t="shared" si="6"/>
        <v>134.61803405544143</v>
      </c>
      <c r="AM33" s="110">
        <f t="shared" si="0"/>
        <v>13.6058074435756</v>
      </c>
      <c r="AN33" s="110">
        <f t="shared" si="7"/>
        <v>1432.1968701860669</v>
      </c>
    </row>
    <row r="34" spans="4:40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J34" s="107">
        <f t="shared" si="15"/>
        <v>1432.1968701860669</v>
      </c>
      <c r="K34" s="107">
        <v>0.02</v>
      </c>
      <c r="L34" s="112"/>
      <c r="M34" s="112"/>
      <c r="N34" s="107">
        <f t="shared" si="20"/>
        <v>28.643937403721338</v>
      </c>
      <c r="O34" s="107">
        <f t="shared" si="22"/>
        <v>9.237944078927109</v>
      </c>
      <c r="P34" s="112">
        <f t="shared" si="22"/>
        <v>39.333564910627274</v>
      </c>
      <c r="Q34" s="112">
        <f t="shared" si="22"/>
        <v>32.806597807553743</v>
      </c>
      <c r="R34" s="107">
        <f t="shared" si="23"/>
        <v>21.421294804000734</v>
      </c>
      <c r="S34" s="112">
        <f t="shared" si="23"/>
        <v>18.648267795942825</v>
      </c>
      <c r="T34" s="112"/>
      <c r="U34" s="107">
        <f t="shared" si="3"/>
        <v>150.09160680077301</v>
      </c>
      <c r="V34" s="112"/>
      <c r="W34" s="107"/>
      <c r="X34" s="112"/>
      <c r="Y34" s="107"/>
      <c r="Z34" s="112"/>
      <c r="AA34" s="112"/>
      <c r="AB34" s="112"/>
      <c r="AC34" s="107">
        <v>4.2</v>
      </c>
      <c r="AD34" s="112"/>
      <c r="AE34" s="112"/>
      <c r="AF34" s="112"/>
      <c r="AG34" s="112"/>
      <c r="AH34" s="112"/>
      <c r="AI34" s="107">
        <f t="shared" si="24"/>
        <v>133.02639473655026</v>
      </c>
      <c r="AJ34" s="112"/>
      <c r="AK34" s="112"/>
      <c r="AL34" s="107">
        <f t="shared" si="6"/>
        <v>137.22639473655025</v>
      </c>
      <c r="AM34" s="110">
        <f t="shared" si="0"/>
        <v>12.86521206422276</v>
      </c>
      <c r="AN34" s="110">
        <f t="shared" si="7"/>
        <v>1445.0620822502897</v>
      </c>
    </row>
    <row r="35" spans="4:40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J35" s="107">
        <f t="shared" si="15"/>
        <v>1445.0620822502897</v>
      </c>
      <c r="K35" s="107">
        <v>0.02</v>
      </c>
      <c r="L35" s="112"/>
      <c r="M35" s="112"/>
      <c r="N35" s="107">
        <f t="shared" si="20"/>
        <v>28.901241645005793</v>
      </c>
      <c r="O35" s="107">
        <f t="shared" si="22"/>
        <v>9.4227029605056511</v>
      </c>
      <c r="P35" s="112">
        <f t="shared" si="22"/>
        <v>40.12023620883982</v>
      </c>
      <c r="Q35" s="112">
        <f t="shared" si="22"/>
        <v>33.462729763704822</v>
      </c>
      <c r="R35" s="107">
        <f t="shared" si="23"/>
        <v>21.421294804000734</v>
      </c>
      <c r="S35" s="112">
        <f t="shared" si="23"/>
        <v>18.648267795942825</v>
      </c>
      <c r="T35" s="112"/>
      <c r="U35" s="107">
        <f t="shared" si="3"/>
        <v>151.97647317799962</v>
      </c>
      <c r="V35" s="112"/>
      <c r="W35" s="107"/>
      <c r="X35" s="112"/>
      <c r="Y35" s="107"/>
      <c r="Z35" s="112"/>
      <c r="AA35" s="112"/>
      <c r="AB35" s="112"/>
      <c r="AC35" s="107">
        <v>4.2</v>
      </c>
      <c r="AD35" s="112"/>
      <c r="AE35" s="112"/>
      <c r="AF35" s="112"/>
      <c r="AG35" s="112"/>
      <c r="AH35" s="112"/>
      <c r="AI35" s="107">
        <f t="shared" si="24"/>
        <v>135.68692263128128</v>
      </c>
      <c r="AJ35" s="112"/>
      <c r="AK35" s="112"/>
      <c r="AL35" s="107">
        <f t="shared" si="6"/>
        <v>139.88692263128127</v>
      </c>
      <c r="AM35" s="110">
        <f t="shared" si="0"/>
        <v>12.089550546718357</v>
      </c>
      <c r="AN35" s="110">
        <f t="shared" si="7"/>
        <v>1457.151632797008</v>
      </c>
    </row>
    <row r="36" spans="4:40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J36" s="107">
        <f t="shared" si="15"/>
        <v>1457.151632797008</v>
      </c>
      <c r="K36" s="107">
        <v>0.02</v>
      </c>
      <c r="L36" s="112"/>
      <c r="M36" s="112"/>
      <c r="N36" s="107">
        <f t="shared" si="20"/>
        <v>29.143032655940161</v>
      </c>
      <c r="O36" s="107">
        <f t="shared" si="22"/>
        <v>9.6111570197157636</v>
      </c>
      <c r="P36" s="112">
        <f t="shared" si="22"/>
        <v>40.922640933016616</v>
      </c>
      <c r="Q36" s="112">
        <f t="shared" si="22"/>
        <v>34.131984358978919</v>
      </c>
      <c r="R36" s="107">
        <f t="shared" si="23"/>
        <v>21.421294804000734</v>
      </c>
      <c r="S36" s="112">
        <f t="shared" si="23"/>
        <v>18.648267795942825</v>
      </c>
      <c r="T36" s="112"/>
      <c r="U36" s="107">
        <f t="shared" si="3"/>
        <v>153.87837756759498</v>
      </c>
      <c r="V36" s="112"/>
      <c r="W36" s="107"/>
      <c r="X36" s="112"/>
      <c r="Y36" s="107"/>
      <c r="Z36" s="112"/>
      <c r="AA36" s="112"/>
      <c r="AB36" s="112"/>
      <c r="AC36" s="107">
        <v>4.2</v>
      </c>
      <c r="AD36" s="112"/>
      <c r="AE36" s="112"/>
      <c r="AF36" s="112"/>
      <c r="AG36" s="112"/>
      <c r="AH36" s="112"/>
      <c r="AI36" s="107">
        <f t="shared" si="24"/>
        <v>138.4006610839069</v>
      </c>
      <c r="AJ36" s="112"/>
      <c r="AK36" s="112"/>
      <c r="AL36" s="107">
        <f t="shared" si="6"/>
        <v>142.60066108390689</v>
      </c>
      <c r="AM36" s="110">
        <f t="shared" si="0"/>
        <v>11.277716483688096</v>
      </c>
      <c r="AN36" s="110">
        <f t="shared" si="7"/>
        <v>1468.429349280696</v>
      </c>
    </row>
    <row r="37" spans="4:40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J37" s="107">
        <f t="shared" si="15"/>
        <v>1468.429349280696</v>
      </c>
      <c r="K37" s="107">
        <v>0.02</v>
      </c>
      <c r="L37" s="112"/>
      <c r="M37" s="112"/>
      <c r="N37" s="107">
        <f t="shared" si="20"/>
        <v>29.36858698561392</v>
      </c>
      <c r="O37" s="107">
        <f t="shared" ref="O37:Q52" si="25">O36*(1+$B$3)</f>
        <v>9.8033801601100787</v>
      </c>
      <c r="P37" s="112">
        <f t="shared" si="25"/>
        <v>41.741093751676949</v>
      </c>
      <c r="Q37" s="112">
        <f t="shared" si="25"/>
        <v>34.814624046158499</v>
      </c>
      <c r="R37" s="107">
        <f t="shared" si="23"/>
        <v>21.421294804000734</v>
      </c>
      <c r="S37" s="112">
        <f t="shared" si="23"/>
        <v>18.648267795942825</v>
      </c>
      <c r="T37" s="112"/>
      <c r="U37" s="107">
        <f t="shared" si="3"/>
        <v>155.797247543503</v>
      </c>
      <c r="V37" s="112"/>
      <c r="W37" s="107"/>
      <c r="X37" s="112"/>
      <c r="Y37" s="107"/>
      <c r="Z37" s="112"/>
      <c r="AA37" s="112"/>
      <c r="AB37" s="112"/>
      <c r="AC37" s="107">
        <v>4.2</v>
      </c>
      <c r="AD37" s="112"/>
      <c r="AE37" s="112"/>
      <c r="AF37" s="112"/>
      <c r="AG37" s="112"/>
      <c r="AH37" s="112"/>
      <c r="AI37" s="107">
        <f t="shared" si="24"/>
        <v>141.16867430558503</v>
      </c>
      <c r="AJ37" s="112"/>
      <c r="AK37" s="112"/>
      <c r="AL37" s="107">
        <f t="shared" si="6"/>
        <v>145.36867430558502</v>
      </c>
      <c r="AM37" s="110">
        <f t="shared" si="0"/>
        <v>10.428573237917988</v>
      </c>
      <c r="AN37" s="110">
        <f t="shared" si="7"/>
        <v>1478.857922518614</v>
      </c>
    </row>
    <row r="38" spans="4:40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J38" s="107">
        <f t="shared" si="15"/>
        <v>1478.857922518614</v>
      </c>
      <c r="K38" s="107">
        <v>0.02</v>
      </c>
      <c r="L38" s="112"/>
      <c r="M38" s="112"/>
      <c r="N38" s="107">
        <f t="shared" si="20"/>
        <v>29.577158450372281</v>
      </c>
      <c r="O38" s="107">
        <f t="shared" si="25"/>
        <v>9.9994477633122809</v>
      </c>
      <c r="P38" s="112">
        <f t="shared" si="25"/>
        <v>42.57591562671049</v>
      </c>
      <c r="Q38" s="112">
        <f t="shared" si="25"/>
        <v>35.510916527081669</v>
      </c>
      <c r="R38" s="107">
        <f t="shared" si="23"/>
        <v>21.421294804000734</v>
      </c>
      <c r="S38" s="112">
        <f t="shared" si="23"/>
        <v>18.648267795942825</v>
      </c>
      <c r="T38" s="112"/>
      <c r="U38" s="107">
        <f t="shared" si="3"/>
        <v>157.73300096742025</v>
      </c>
      <c r="V38" s="112"/>
      <c r="W38" s="107"/>
      <c r="X38" s="112"/>
      <c r="Y38" s="107"/>
      <c r="Z38" s="112"/>
      <c r="AA38" s="112"/>
      <c r="AB38" s="112"/>
      <c r="AC38" s="107">
        <v>4.2</v>
      </c>
      <c r="AD38" s="112"/>
      <c r="AE38" s="112"/>
      <c r="AF38" s="112"/>
      <c r="AG38" s="112"/>
      <c r="AH38" s="112"/>
      <c r="AI38" s="107">
        <f t="shared" si="24"/>
        <v>143.99204779169673</v>
      </c>
      <c r="AJ38" s="112"/>
      <c r="AK38" s="112"/>
      <c r="AL38" s="107">
        <f t="shared" si="6"/>
        <v>148.19204779169672</v>
      </c>
      <c r="AM38" s="110">
        <f t="shared" si="0"/>
        <v>9.54095317572353</v>
      </c>
      <c r="AN38" s="110">
        <f t="shared" si="7"/>
        <v>1488.3988756943377</v>
      </c>
    </row>
    <row r="39" spans="4:40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J39" s="107">
        <f t="shared" si="15"/>
        <v>1488.3988756943377</v>
      </c>
      <c r="K39" s="107">
        <v>0.02</v>
      </c>
      <c r="L39" s="112"/>
      <c r="M39" s="112"/>
      <c r="N39" s="107">
        <f t="shared" si="20"/>
        <v>29.767977513886756</v>
      </c>
      <c r="O39" s="107">
        <f t="shared" si="25"/>
        <v>10.199436718578527</v>
      </c>
      <c r="P39" s="112">
        <f t="shared" si="25"/>
        <v>43.4274339392447</v>
      </c>
      <c r="Q39" s="112">
        <f t="shared" si="25"/>
        <v>36.221134857623305</v>
      </c>
      <c r="R39" s="107">
        <f t="shared" si="23"/>
        <v>21.421294804000734</v>
      </c>
      <c r="S39" s="112">
        <f t="shared" si="23"/>
        <v>18.648267795942825</v>
      </c>
      <c r="T39" s="112"/>
      <c r="U39" s="107">
        <f t="shared" si="3"/>
        <v>159.68554562927682</v>
      </c>
      <c r="V39" s="112"/>
      <c r="W39" s="107"/>
      <c r="X39" s="112"/>
      <c r="Y39" s="107"/>
      <c r="Z39" s="112"/>
      <c r="AA39" s="112"/>
      <c r="AB39" s="112"/>
      <c r="AC39" s="112"/>
      <c r="AD39" s="112"/>
      <c r="AE39" s="112"/>
      <c r="AF39" s="112"/>
      <c r="AG39" s="112"/>
      <c r="AH39" s="112"/>
      <c r="AI39" s="107">
        <f t="shared" si="24"/>
        <v>146.87188874753068</v>
      </c>
      <c r="AJ39" s="112"/>
      <c r="AK39" s="112"/>
      <c r="AL39" s="107">
        <f t="shared" si="6"/>
        <v>146.87188874753068</v>
      </c>
      <c r="AM39" s="110">
        <f t="shared" si="0"/>
        <v>12.813656881746141</v>
      </c>
      <c r="AN39" s="110">
        <f t="shared" si="7"/>
        <v>1501.2125325760837</v>
      </c>
    </row>
    <row r="40" spans="4:40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J40" s="107">
        <f t="shared" si="15"/>
        <v>1501.2125325760837</v>
      </c>
      <c r="K40" s="107">
        <v>0.02</v>
      </c>
      <c r="L40" s="112"/>
      <c r="M40" s="112"/>
      <c r="N40" s="107">
        <f t="shared" si="20"/>
        <v>30.024250651521676</v>
      </c>
      <c r="O40" s="107">
        <f t="shared" si="25"/>
        <v>10.403425452950097</v>
      </c>
      <c r="P40" s="112">
        <f t="shared" si="25"/>
        <v>44.295982618029598</v>
      </c>
      <c r="Q40" s="112">
        <f t="shared" si="25"/>
        <v>36.945557554775775</v>
      </c>
      <c r="R40" s="107">
        <f t="shared" si="23"/>
        <v>21.421294804000734</v>
      </c>
      <c r="S40" s="112">
        <f t="shared" si="23"/>
        <v>18.648267795942825</v>
      </c>
      <c r="T40" s="112"/>
      <c r="U40" s="107">
        <f t="shared" si="3"/>
        <v>161.73877887722068</v>
      </c>
      <c r="V40" s="112"/>
      <c r="W40" s="107"/>
      <c r="X40" s="112"/>
      <c r="Y40" s="107"/>
      <c r="Z40" s="112"/>
      <c r="AA40" s="112"/>
      <c r="AB40" s="112"/>
      <c r="AC40" s="112"/>
      <c r="AD40" s="112"/>
      <c r="AE40" s="112"/>
      <c r="AF40" s="112"/>
      <c r="AG40" s="112"/>
      <c r="AH40" s="112"/>
      <c r="AI40" s="107">
        <f t="shared" si="24"/>
        <v>149.80932652248129</v>
      </c>
      <c r="AJ40" s="112"/>
      <c r="AK40" s="112"/>
      <c r="AL40" s="107">
        <f t="shared" si="6"/>
        <v>149.80932652248129</v>
      </c>
      <c r="AM40" s="110">
        <f t="shared" si="0"/>
        <v>11.929452354739396</v>
      </c>
      <c r="AN40" s="110">
        <f t="shared" si="7"/>
        <v>1513.1419849308231</v>
      </c>
    </row>
    <row r="41" spans="4:40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J41" s="107">
        <f t="shared" si="15"/>
        <v>1513.1419849308231</v>
      </c>
      <c r="K41" s="107">
        <v>0.02</v>
      </c>
      <c r="L41" s="112"/>
      <c r="M41" s="112"/>
      <c r="N41" s="107">
        <f t="shared" si="20"/>
        <v>30.262839698616464</v>
      </c>
      <c r="O41" s="107">
        <f t="shared" si="25"/>
        <v>10.611493962009099</v>
      </c>
      <c r="P41" s="112">
        <f t="shared" si="25"/>
        <v>45.181902270390189</v>
      </c>
      <c r="Q41" s="112">
        <f t="shared" si="25"/>
        <v>37.684468705871289</v>
      </c>
      <c r="R41" s="107">
        <f t="shared" si="23"/>
        <v>21.421294804000734</v>
      </c>
      <c r="S41" s="112">
        <f t="shared" si="23"/>
        <v>18.648267795942825</v>
      </c>
      <c r="T41" s="112"/>
      <c r="U41" s="107">
        <f t="shared" si="3"/>
        <v>163.81026723683058</v>
      </c>
      <c r="V41" s="112"/>
      <c r="W41" s="107"/>
      <c r="X41" s="112"/>
      <c r="Y41" s="107"/>
      <c r="Z41" s="112"/>
      <c r="AA41" s="112"/>
      <c r="AB41" s="112"/>
      <c r="AC41" s="112"/>
      <c r="AD41" s="112"/>
      <c r="AE41" s="112"/>
      <c r="AF41" s="112"/>
      <c r="AG41" s="112"/>
      <c r="AH41" s="112"/>
      <c r="AI41" s="107">
        <f t="shared" si="24"/>
        <v>152.80551305293091</v>
      </c>
      <c r="AJ41" s="112"/>
      <c r="AK41" s="112"/>
      <c r="AL41" s="107">
        <f t="shared" si="6"/>
        <v>152.80551305293091</v>
      </c>
      <c r="AM41" s="110">
        <f t="shared" si="0"/>
        <v>11.004754183899678</v>
      </c>
      <c r="AN41" s="110">
        <f t="shared" si="7"/>
        <v>1524.1467391147228</v>
      </c>
    </row>
    <row r="42" spans="4:40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J42" s="107">
        <f t="shared" si="15"/>
        <v>1524.1467391147228</v>
      </c>
      <c r="K42" s="107">
        <v>0.02</v>
      </c>
      <c r="L42" s="112"/>
      <c r="M42" s="112"/>
      <c r="N42" s="107">
        <f t="shared" si="20"/>
        <v>30.482934782294457</v>
      </c>
      <c r="O42" s="107">
        <f t="shared" si="25"/>
        <v>10.823723841249281</v>
      </c>
      <c r="P42" s="112">
        <f t="shared" si="25"/>
        <v>46.085540315797992</v>
      </c>
      <c r="Q42" s="112">
        <f t="shared" si="25"/>
        <v>38.438158079988717</v>
      </c>
      <c r="R42" s="107">
        <f t="shared" si="23"/>
        <v>21.421294804000734</v>
      </c>
      <c r="S42" s="112">
        <f t="shared" si="23"/>
        <v>18.648267795942825</v>
      </c>
      <c r="T42" s="112"/>
      <c r="U42" s="107">
        <f t="shared" si="3"/>
        <v>165.89991961927399</v>
      </c>
      <c r="V42" s="112"/>
      <c r="W42" s="107"/>
      <c r="X42" s="112"/>
      <c r="Y42" s="107"/>
      <c r="Z42" s="112"/>
      <c r="AA42" s="112"/>
      <c r="AB42" s="112"/>
      <c r="AC42" s="112"/>
      <c r="AD42" s="112"/>
      <c r="AE42" s="112"/>
      <c r="AF42" s="112"/>
      <c r="AG42" s="112"/>
      <c r="AH42" s="112"/>
      <c r="AI42" s="107">
        <f t="shared" si="24"/>
        <v>155.86162331398953</v>
      </c>
      <c r="AJ42" s="112"/>
      <c r="AK42" s="112"/>
      <c r="AL42" s="107">
        <f t="shared" si="6"/>
        <v>155.86162331398953</v>
      </c>
      <c r="AM42" s="110">
        <f t="shared" si="0"/>
        <v>10.038296305284462</v>
      </c>
      <c r="AN42" s="110">
        <f t="shared" si="7"/>
        <v>1534.1850354200074</v>
      </c>
    </row>
    <row r="43" spans="4:40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J43" s="107">
        <f t="shared" si="15"/>
        <v>1534.1850354200074</v>
      </c>
      <c r="K43" s="107">
        <v>0.02</v>
      </c>
      <c r="L43" s="112"/>
      <c r="M43" s="112"/>
      <c r="N43" s="107">
        <f t="shared" si="20"/>
        <v>30.683700708400149</v>
      </c>
      <c r="O43" s="107">
        <f t="shared" si="25"/>
        <v>11.040198318074268</v>
      </c>
      <c r="P43" s="112">
        <f t="shared" si="25"/>
        <v>47.007251122113949</v>
      </c>
      <c r="Q43" s="112">
        <f t="shared" si="25"/>
        <v>39.206921241588489</v>
      </c>
      <c r="R43" s="107">
        <f t="shared" si="23"/>
        <v>21.421294804000734</v>
      </c>
      <c r="S43" s="112">
        <f t="shared" si="23"/>
        <v>18.648267795942825</v>
      </c>
      <c r="T43" s="112"/>
      <c r="U43" s="107">
        <f t="shared" si="3"/>
        <v>168.00763399012041</v>
      </c>
      <c r="V43" s="112"/>
      <c r="W43" s="107"/>
      <c r="X43" s="112"/>
      <c r="Y43" s="107"/>
      <c r="Z43" s="112"/>
      <c r="AA43" s="112"/>
      <c r="AB43" s="112"/>
      <c r="AC43" s="112"/>
      <c r="AD43" s="112"/>
      <c r="AE43" s="112"/>
      <c r="AF43" s="112"/>
      <c r="AG43" s="112"/>
      <c r="AH43" s="112"/>
      <c r="AI43" s="107">
        <f t="shared" si="24"/>
        <v>158.97885578026933</v>
      </c>
      <c r="AJ43" s="112"/>
      <c r="AK43" s="112"/>
      <c r="AL43" s="107">
        <f t="shared" si="6"/>
        <v>158.97885578026933</v>
      </c>
      <c r="AM43" s="110">
        <f t="shared" si="0"/>
        <v>9.0287782098510831</v>
      </c>
      <c r="AN43" s="110">
        <f t="shared" si="7"/>
        <v>1543.2138136298584</v>
      </c>
    </row>
    <row r="44" spans="4:40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J44" s="107">
        <f t="shared" si="15"/>
        <v>1543.2138136298584</v>
      </c>
      <c r="K44" s="107">
        <v>0.02</v>
      </c>
      <c r="L44" s="112"/>
      <c r="M44" s="112"/>
      <c r="N44" s="107">
        <f t="shared" si="20"/>
        <v>30.864276272597166</v>
      </c>
      <c r="O44" s="107">
        <f t="shared" si="25"/>
        <v>11.261002284435753</v>
      </c>
      <c r="P44" s="112">
        <f t="shared" si="25"/>
        <v>47.94739614455623</v>
      </c>
      <c r="Q44" s="112">
        <f t="shared" si="25"/>
        <v>39.991059666420263</v>
      </c>
      <c r="R44" s="107">
        <f t="shared" si="23"/>
        <v>21.421294804000734</v>
      </c>
      <c r="S44" s="112">
        <f t="shared" si="23"/>
        <v>18.648267795942825</v>
      </c>
      <c r="T44" s="112"/>
      <c r="U44" s="107">
        <f t="shared" si="3"/>
        <v>170.13329696795296</v>
      </c>
      <c r="V44" s="112"/>
      <c r="W44" s="107"/>
      <c r="X44" s="112"/>
      <c r="Y44" s="107"/>
      <c r="Z44" s="112"/>
      <c r="AA44" s="112"/>
      <c r="AB44" s="112"/>
      <c r="AC44" s="112"/>
      <c r="AD44" s="112"/>
      <c r="AE44" s="112"/>
      <c r="AF44" s="112"/>
      <c r="AG44" s="112"/>
      <c r="AH44" s="112"/>
      <c r="AI44" s="107">
        <f t="shared" si="24"/>
        <v>162.15843289587471</v>
      </c>
      <c r="AJ44" s="112"/>
      <c r="AK44" s="112"/>
      <c r="AL44" s="107">
        <f t="shared" si="6"/>
        <v>162.15843289587471</v>
      </c>
      <c r="AM44" s="110">
        <f t="shared" si="0"/>
        <v>7.9748640720782475</v>
      </c>
      <c r="AN44" s="110">
        <f t="shared" si="7"/>
        <v>1551.1886777019365</v>
      </c>
    </row>
    <row r="45" spans="4:40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J45" s="107">
        <f t="shared" si="15"/>
        <v>1551.1886777019365</v>
      </c>
      <c r="K45" s="107">
        <v>0.02</v>
      </c>
      <c r="L45" s="112"/>
      <c r="M45" s="112"/>
      <c r="N45" s="107">
        <f t="shared" si="20"/>
        <v>31.02377355403873</v>
      </c>
      <c r="O45" s="107">
        <f t="shared" si="25"/>
        <v>11.486222330124468</v>
      </c>
      <c r="P45" s="112">
        <f t="shared" si="25"/>
        <v>48.906344067447357</v>
      </c>
      <c r="Q45" s="112">
        <f t="shared" si="25"/>
        <v>40.790880859748668</v>
      </c>
      <c r="R45" s="107">
        <f t="shared" si="23"/>
        <v>21.421294804000734</v>
      </c>
      <c r="S45" s="112">
        <f t="shared" si="23"/>
        <v>18.648267795942825</v>
      </c>
      <c r="T45" s="112"/>
      <c r="U45" s="107">
        <f t="shared" si="3"/>
        <v>172.27678341130274</v>
      </c>
      <c r="V45" s="112"/>
      <c r="W45" s="107"/>
      <c r="X45" s="112"/>
      <c r="Y45" s="107"/>
      <c r="Z45" s="112"/>
      <c r="AA45" s="112"/>
      <c r="AB45" s="112"/>
      <c r="AC45" s="112"/>
      <c r="AD45" s="112"/>
      <c r="AE45" s="112"/>
      <c r="AF45" s="112"/>
      <c r="AG45" s="112"/>
      <c r="AH45" s="112"/>
      <c r="AI45" s="107">
        <f t="shared" si="24"/>
        <v>165.4016015537922</v>
      </c>
      <c r="AJ45" s="112"/>
      <c r="AK45" s="112"/>
      <c r="AL45" s="107">
        <f t="shared" si="6"/>
        <v>165.4016015537922</v>
      </c>
      <c r="AM45" s="110">
        <f t="shared" si="0"/>
        <v>6.8751818575105403</v>
      </c>
      <c r="AN45" s="110">
        <f t="shared" si="7"/>
        <v>1558.0638595594471</v>
      </c>
    </row>
    <row r="46" spans="4:40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J46" s="107">
        <f t="shared" si="15"/>
        <v>1558.0638595594471</v>
      </c>
      <c r="K46" s="107">
        <v>0.02</v>
      </c>
      <c r="L46" s="112"/>
      <c r="M46" s="112"/>
      <c r="N46" s="107">
        <f t="shared" si="20"/>
        <v>31.161277191188944</v>
      </c>
      <c r="O46" s="107">
        <f t="shared" si="25"/>
        <v>11.715946776726957</v>
      </c>
      <c r="P46" s="112">
        <f t="shared" si="25"/>
        <v>49.884470948796306</v>
      </c>
      <c r="Q46" s="112">
        <f t="shared" si="25"/>
        <v>41.606698476943642</v>
      </c>
      <c r="R46" s="107">
        <f t="shared" ref="R46:S47" si="26">R45</f>
        <v>21.421294804000734</v>
      </c>
      <c r="S46" s="112">
        <f t="shared" si="26"/>
        <v>18.648267795942825</v>
      </c>
      <c r="T46" s="112"/>
      <c r="U46" s="107">
        <f t="shared" si="3"/>
        <v>174.43795599359939</v>
      </c>
      <c r="V46" s="112"/>
      <c r="W46" s="107"/>
      <c r="X46" s="112"/>
      <c r="Y46" s="107"/>
      <c r="Z46" s="112"/>
      <c r="AA46" s="112"/>
      <c r="AB46" s="112"/>
      <c r="AC46" s="112"/>
      <c r="AD46" s="112"/>
      <c r="AE46" s="112"/>
      <c r="AF46" s="112"/>
      <c r="AG46" s="112"/>
      <c r="AH46" s="112"/>
      <c r="AI46" s="107">
        <f t="shared" si="24"/>
        <v>168.70963358486804</v>
      </c>
      <c r="AJ46" s="112"/>
      <c r="AK46" s="112"/>
      <c r="AL46" s="107">
        <f t="shared" si="6"/>
        <v>168.70963358486804</v>
      </c>
      <c r="AM46" s="110">
        <f t="shared" si="0"/>
        <v>5.7283224087313442</v>
      </c>
      <c r="AN46" s="110">
        <f t="shared" si="7"/>
        <v>1563.7921819681785</v>
      </c>
    </row>
    <row r="47" spans="4:40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J47" s="107">
        <f t="shared" si="15"/>
        <v>1563.7921819681785</v>
      </c>
      <c r="K47" s="107">
        <v>0.02</v>
      </c>
      <c r="L47" s="112"/>
      <c r="M47" s="112"/>
      <c r="N47" s="107">
        <f t="shared" si="20"/>
        <v>31.275843639363572</v>
      </c>
      <c r="O47" s="107">
        <f t="shared" si="25"/>
        <v>11.950265712261496</v>
      </c>
      <c r="P47" s="112">
        <f t="shared" si="25"/>
        <v>50.882160367772229</v>
      </c>
      <c r="Q47" s="112">
        <f t="shared" si="25"/>
        <v>42.438832446482515</v>
      </c>
      <c r="R47" s="107">
        <f t="shared" si="26"/>
        <v>21.421294804000734</v>
      </c>
      <c r="S47" s="112">
        <f t="shared" si="26"/>
        <v>18.648267795942825</v>
      </c>
      <c r="T47" s="112"/>
      <c r="U47" s="107">
        <f t="shared" si="3"/>
        <v>176.61666476582334</v>
      </c>
      <c r="V47" s="112"/>
      <c r="W47" s="107"/>
      <c r="X47" s="112"/>
      <c r="Y47" s="107"/>
      <c r="Z47" s="112"/>
      <c r="AA47" s="112"/>
      <c r="AB47" s="112"/>
      <c r="AC47" s="112"/>
      <c r="AD47" s="112"/>
      <c r="AE47" s="112"/>
      <c r="AF47" s="112"/>
      <c r="AG47" s="112"/>
      <c r="AH47" s="112"/>
      <c r="AI47" s="107">
        <f t="shared" si="24"/>
        <v>172.0838262565654</v>
      </c>
      <c r="AJ47" s="112"/>
      <c r="AK47" s="112"/>
      <c r="AL47" s="107">
        <f t="shared" si="6"/>
        <v>172.0838262565654</v>
      </c>
      <c r="AM47" s="110">
        <f t="shared" si="0"/>
        <v>4.5328385092579424</v>
      </c>
      <c r="AN47" s="110">
        <f t="shared" si="7"/>
        <v>1568.3250204774365</v>
      </c>
    </row>
    <row r="48" spans="4:40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J48" s="107">
        <f t="shared" si="15"/>
        <v>1568.3250204774365</v>
      </c>
      <c r="K48" s="107">
        <v>0.02</v>
      </c>
      <c r="L48" s="112"/>
      <c r="M48" s="112"/>
      <c r="N48" s="107">
        <f t="shared" si="20"/>
        <v>31.366500409548731</v>
      </c>
      <c r="O48" s="107">
        <f t="shared" si="25"/>
        <v>12.189271026506725</v>
      </c>
      <c r="P48" s="112">
        <f t="shared" si="25"/>
        <v>51.899803575127677</v>
      </c>
      <c r="Q48" s="112">
        <f t="shared" si="25"/>
        <v>43.287609095412165</v>
      </c>
      <c r="R48" s="107"/>
      <c r="S48" s="112"/>
      <c r="T48" s="112"/>
      <c r="U48" s="107">
        <f t="shared" si="3"/>
        <v>138.74318410659529</v>
      </c>
      <c r="V48" s="112"/>
      <c r="W48" s="107"/>
      <c r="X48" s="112"/>
      <c r="Y48" s="107"/>
      <c r="Z48" s="112"/>
      <c r="AA48" s="112"/>
      <c r="AB48" s="112"/>
      <c r="AC48" s="112"/>
      <c r="AD48" s="112"/>
      <c r="AE48" s="112"/>
      <c r="AF48" s="112"/>
      <c r="AG48" s="112"/>
      <c r="AH48" s="112"/>
      <c r="AI48" s="107">
        <f t="shared" si="24"/>
        <v>175.5255027816967</v>
      </c>
      <c r="AJ48" s="112"/>
      <c r="AK48" s="112"/>
      <c r="AL48" s="107">
        <f t="shared" si="6"/>
        <v>175.5255027816967</v>
      </c>
      <c r="AM48" s="110">
        <f t="shared" si="0"/>
        <v>-36.782318675101408</v>
      </c>
      <c r="AN48" s="110">
        <f t="shared" si="7"/>
        <v>1531.5427018023352</v>
      </c>
    </row>
    <row r="49" spans="4:40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J49" s="107">
        <f t="shared" si="15"/>
        <v>1531.5427018023352</v>
      </c>
      <c r="K49" s="107">
        <v>0.02</v>
      </c>
      <c r="L49" s="112"/>
      <c r="M49" s="112"/>
      <c r="N49" s="107">
        <f t="shared" si="20"/>
        <v>30.630854036046703</v>
      </c>
      <c r="O49" s="107">
        <f t="shared" si="25"/>
        <v>12.43305644703686</v>
      </c>
      <c r="P49" s="112">
        <f t="shared" si="25"/>
        <v>52.937799646630232</v>
      </c>
      <c r="Q49" s="112">
        <f t="shared" si="25"/>
        <v>44.153361277320407</v>
      </c>
      <c r="R49" s="107"/>
      <c r="S49" s="112"/>
      <c r="T49" s="112"/>
      <c r="U49" s="107">
        <f t="shared" si="3"/>
        <v>140.1550714070342</v>
      </c>
      <c r="V49" s="112"/>
      <c r="W49" s="107"/>
      <c r="X49" s="112"/>
      <c r="Y49" s="107"/>
      <c r="Z49" s="112"/>
      <c r="AA49" s="112"/>
      <c r="AB49" s="112"/>
      <c r="AC49" s="112"/>
      <c r="AD49" s="112"/>
      <c r="AE49" s="112"/>
      <c r="AF49" s="112"/>
      <c r="AG49" s="112"/>
      <c r="AH49" s="112"/>
      <c r="AI49" s="107">
        <f t="shared" si="24"/>
        <v>179.03601283733065</v>
      </c>
      <c r="AJ49" s="112"/>
      <c r="AK49" s="112"/>
      <c r="AL49" s="107">
        <f t="shared" si="6"/>
        <v>179.03601283733065</v>
      </c>
      <c r="AM49" s="110">
        <f t="shared" si="0"/>
        <v>-38.880941430296446</v>
      </c>
      <c r="AN49" s="110">
        <f t="shared" si="7"/>
        <v>1492.6617603720388</v>
      </c>
    </row>
    <row r="50" spans="4:40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J50" s="107">
        <f t="shared" si="15"/>
        <v>1492.6617603720388</v>
      </c>
      <c r="K50" s="107">
        <v>0.02</v>
      </c>
      <c r="L50" s="112"/>
      <c r="M50" s="112"/>
      <c r="N50" s="107">
        <f t="shared" si="20"/>
        <v>29.853235207440775</v>
      </c>
      <c r="O50" s="107">
        <f t="shared" si="25"/>
        <v>12.681717575977597</v>
      </c>
      <c r="P50" s="112">
        <f t="shared" si="25"/>
        <v>53.996555639562835</v>
      </c>
      <c r="Q50" s="112">
        <f t="shared" si="25"/>
        <v>45.036428502866819</v>
      </c>
      <c r="R50" s="107"/>
      <c r="S50" s="112"/>
      <c r="T50" s="112"/>
      <c r="U50" s="107">
        <f t="shared" si="3"/>
        <v>141.56793692584802</v>
      </c>
      <c r="V50" s="112"/>
      <c r="W50" s="107"/>
      <c r="X50" s="112"/>
      <c r="Y50" s="107"/>
      <c r="Z50" s="112"/>
      <c r="AA50" s="112"/>
      <c r="AB50" s="112"/>
      <c r="AC50" s="112"/>
      <c r="AD50" s="112"/>
      <c r="AE50" s="112"/>
      <c r="AF50" s="112"/>
      <c r="AG50" s="112"/>
      <c r="AH50" s="112"/>
      <c r="AI50" s="107">
        <f t="shared" si="24"/>
        <v>182.61673309407726</v>
      </c>
      <c r="AJ50" s="112"/>
      <c r="AK50" s="112"/>
      <c r="AL50" s="107">
        <f t="shared" si="6"/>
        <v>182.61673309407726</v>
      </c>
      <c r="AM50" s="110">
        <f t="shared" si="0"/>
        <v>-41.048796168229245</v>
      </c>
      <c r="AN50" s="110">
        <f t="shared" si="7"/>
        <v>1451.6129642038095</v>
      </c>
    </row>
    <row r="51" spans="4:40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J51" s="107">
        <f t="shared" si="15"/>
        <v>1451.6129642038095</v>
      </c>
      <c r="K51" s="107">
        <v>0.02</v>
      </c>
      <c r="L51" s="112"/>
      <c r="M51" s="112"/>
      <c r="N51" s="107">
        <f t="shared" si="20"/>
        <v>29.03225928407619</v>
      </c>
      <c r="O51" s="107">
        <f t="shared" si="25"/>
        <v>12.93535192749715</v>
      </c>
      <c r="P51" s="112">
        <f t="shared" si="25"/>
        <v>55.076486752354093</v>
      </c>
      <c r="Q51" s="112">
        <f t="shared" si="25"/>
        <v>45.937157072924158</v>
      </c>
      <c r="R51" s="107"/>
      <c r="S51" s="112"/>
      <c r="T51" s="112"/>
      <c r="U51" s="107">
        <f t="shared" si="3"/>
        <v>142.98125503685159</v>
      </c>
      <c r="V51" s="112"/>
      <c r="W51" s="107"/>
      <c r="X51" s="112"/>
      <c r="Y51" s="107"/>
      <c r="Z51" s="112"/>
      <c r="AA51" s="112"/>
      <c r="AB51" s="112"/>
      <c r="AC51" s="112"/>
      <c r="AD51" s="112"/>
      <c r="AE51" s="112"/>
      <c r="AF51" s="112"/>
      <c r="AG51" s="112"/>
      <c r="AH51" s="112"/>
      <c r="AI51" s="107">
        <f t="shared" si="24"/>
        <v>186.26906775595882</v>
      </c>
      <c r="AJ51" s="112"/>
      <c r="AK51" s="112"/>
      <c r="AL51" s="107">
        <f t="shared" si="6"/>
        <v>186.26906775595882</v>
      </c>
      <c r="AM51" s="110">
        <f t="shared" si="0"/>
        <v>-43.287812719107222</v>
      </c>
      <c r="AN51" s="110">
        <f t="shared" si="7"/>
        <v>1408.3251514847022</v>
      </c>
    </row>
    <row r="52" spans="4:40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J52" s="107">
        <f t="shared" si="15"/>
        <v>1408.3251514847022</v>
      </c>
      <c r="K52" s="107">
        <v>0.02</v>
      </c>
      <c r="L52" s="112"/>
      <c r="M52" s="112"/>
      <c r="N52" s="107">
        <f t="shared" si="20"/>
        <v>28.166503029694045</v>
      </c>
      <c r="O52" s="107">
        <f t="shared" si="25"/>
        <v>13.194058966047093</v>
      </c>
      <c r="P52" s="112">
        <f t="shared" si="25"/>
        <v>56.178016487401173</v>
      </c>
      <c r="Q52" s="112">
        <f t="shared" si="25"/>
        <v>46.855900214382643</v>
      </c>
      <c r="R52" s="107"/>
      <c r="S52" s="112"/>
      <c r="T52" s="112"/>
      <c r="U52" s="107">
        <f t="shared" si="3"/>
        <v>144.39447869752496</v>
      </c>
      <c r="V52" s="112"/>
      <c r="W52" s="107"/>
      <c r="X52" s="112"/>
      <c r="Y52" s="107"/>
      <c r="Z52" s="112"/>
      <c r="AA52" s="112"/>
      <c r="AB52" s="112"/>
      <c r="AC52" s="112"/>
      <c r="AD52" s="112"/>
      <c r="AE52" s="112"/>
      <c r="AF52" s="112"/>
      <c r="AG52" s="112"/>
      <c r="AH52" s="112"/>
      <c r="AI52" s="107">
        <f t="shared" si="24"/>
        <v>189.99444911107798</v>
      </c>
      <c r="AJ52" s="112"/>
      <c r="AK52" s="112"/>
      <c r="AL52" s="107">
        <f t="shared" si="6"/>
        <v>189.99444911107798</v>
      </c>
      <c r="AM52" s="110">
        <f t="shared" si="0"/>
        <v>-45.599970413553024</v>
      </c>
      <c r="AN52" s="110">
        <f t="shared" si="7"/>
        <v>1362.7251810711491</v>
      </c>
    </row>
    <row r="53" spans="4:40" x14ac:dyDescent="0.3">
      <c r="D53" s="94">
        <v>50</v>
      </c>
      <c r="E53" s="94">
        <v>90</v>
      </c>
      <c r="F53" s="94">
        <v>90</v>
      </c>
      <c r="G53" s="94">
        <v>63</v>
      </c>
      <c r="H53" s="94">
        <v>61</v>
      </c>
      <c r="J53" s="107">
        <f t="shared" si="15"/>
        <v>1362.7251810711491</v>
      </c>
      <c r="K53" s="107">
        <v>0.02</v>
      </c>
      <c r="L53" s="112"/>
      <c r="M53" s="112"/>
      <c r="N53" s="107">
        <f t="shared" si="20"/>
        <v>27.254503621422984</v>
      </c>
      <c r="O53" s="107">
        <f t="shared" ref="O53:Q53" si="27">O52*(1+$B$3)</f>
        <v>13.457940145368035</v>
      </c>
      <c r="P53" s="112">
        <f t="shared" si="27"/>
        <v>57.301576817149197</v>
      </c>
      <c r="Q53" s="112">
        <f t="shared" si="27"/>
        <v>47.793018218670298</v>
      </c>
      <c r="R53" s="112"/>
      <c r="S53" s="112"/>
      <c r="T53" s="112"/>
      <c r="U53" s="107">
        <f>SUM(L53:T53)</f>
        <v>145.80703880261052</v>
      </c>
      <c r="V53" s="112"/>
      <c r="W53" s="107"/>
      <c r="X53" s="112"/>
      <c r="Y53" s="107"/>
      <c r="Z53" s="112"/>
      <c r="AA53" s="112"/>
      <c r="AB53" s="112"/>
      <c r="AC53" s="112"/>
      <c r="AD53" s="112"/>
      <c r="AE53" s="112"/>
      <c r="AF53" s="112"/>
      <c r="AG53" s="112"/>
      <c r="AH53" s="112"/>
      <c r="AI53" s="107">
        <f t="shared" si="24"/>
        <v>193.79433809329956</v>
      </c>
      <c r="AJ53" s="112"/>
      <c r="AK53" s="112"/>
      <c r="AL53" s="107">
        <f t="shared" si="6"/>
        <v>193.79433809329956</v>
      </c>
      <c r="AM53" s="110">
        <f t="shared" si="0"/>
        <v>-47.987299290689037</v>
      </c>
      <c r="AN53" s="110">
        <f t="shared" si="7"/>
        <v>1314.7378817804602</v>
      </c>
    </row>
  </sheetData>
  <mergeCells count="25">
    <mergeCell ref="I1:I2"/>
    <mergeCell ref="AP1:AQ1"/>
    <mergeCell ref="AR1:AS1"/>
    <mergeCell ref="Q1:Q2"/>
    <mergeCell ref="R1:R2"/>
    <mergeCell ref="S1:S2"/>
    <mergeCell ref="T1:T2"/>
    <mergeCell ref="U1:U2"/>
    <mergeCell ref="V1:AJ1"/>
    <mergeCell ref="A1:B1"/>
    <mergeCell ref="AK1:AK2"/>
    <mergeCell ref="AL1:AL2"/>
    <mergeCell ref="AM1:AM2"/>
    <mergeCell ref="AN1:AN2"/>
    <mergeCell ref="J1:J2"/>
    <mergeCell ref="K1:K2"/>
    <mergeCell ref="L1:M1"/>
    <mergeCell ref="N1:N2"/>
    <mergeCell ref="O1:O2"/>
    <mergeCell ref="P1:P2"/>
    <mergeCell ref="D1:D2"/>
    <mergeCell ref="E1:E2"/>
    <mergeCell ref="F1:F2"/>
    <mergeCell ref="G1:G2"/>
    <mergeCell ref="H1:H2"/>
  </mergeCells>
  <phoneticPr fontId="1" type="noConversion"/>
  <conditionalFormatting sqref="AN3:AN1048576">
    <cfRule type="cellIs" dxfId="9" priority="2" operator="lessThan">
      <formula>0</formula>
    </cfRule>
  </conditionalFormatting>
  <conditionalFormatting sqref="AN1:AN2">
    <cfRule type="cellIs" dxfId="8" priority="1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F0245-B53A-4AA6-8012-D04FFDD7F45F}">
  <dimension ref="A1:AU53"/>
  <sheetViews>
    <sheetView workbookViewId="0">
      <selection sqref="A1:B1"/>
    </sheetView>
  </sheetViews>
  <sheetFormatPr defaultRowHeight="14.5" x14ac:dyDescent="0.3"/>
  <cols>
    <col min="1" max="1" width="23.59765625" bestFit="1" customWidth="1"/>
    <col min="2" max="2" width="7.19921875" customWidth="1"/>
    <col min="4" max="8" width="6" bestFit="1" customWidth="1"/>
    <col min="9" max="9" width="36.59765625" bestFit="1" customWidth="1"/>
    <col min="10" max="10" width="10.5" customWidth="1"/>
    <col min="11" max="21" width="8.19921875" customWidth="1"/>
    <col min="22" max="22" width="6" customWidth="1"/>
    <col min="23" max="23" width="10.5" customWidth="1"/>
    <col min="24" max="24" width="6" customWidth="1"/>
    <col min="25" max="25" width="10.5" customWidth="1"/>
    <col min="26" max="27" width="6" customWidth="1"/>
    <col min="28" max="34" width="6" bestFit="1" customWidth="1"/>
    <col min="35" max="35" width="11.796875" customWidth="1"/>
    <col min="36" max="36" width="10.5" bestFit="1" customWidth="1"/>
    <col min="37" max="37" width="9.296875" customWidth="1"/>
    <col min="38" max="38" width="8.19921875" customWidth="1"/>
    <col min="39" max="39" width="7" bestFit="1" customWidth="1"/>
    <col min="40" max="40" width="7.09765625" style="2" customWidth="1"/>
    <col min="41" max="41" width="10.5" bestFit="1" customWidth="1"/>
    <col min="46" max="46" width="10.09765625" customWidth="1"/>
    <col min="47" max="47" width="18" customWidth="1"/>
  </cols>
  <sheetData>
    <row r="1" spans="1:47" ht="14.5" customHeight="1" x14ac:dyDescent="0.3">
      <c r="A1" s="196" t="s">
        <v>347</v>
      </c>
      <c r="B1" s="196"/>
      <c r="C1" s="40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K1" s="189" t="s">
        <v>297</v>
      </c>
      <c r="L1" s="196" t="s">
        <v>298</v>
      </c>
      <c r="M1" s="196"/>
      <c r="N1" s="187" t="s">
        <v>299</v>
      </c>
      <c r="O1" s="187" t="s">
        <v>300</v>
      </c>
      <c r="P1" s="187" t="s">
        <v>301</v>
      </c>
      <c r="Q1" s="187" t="s">
        <v>302</v>
      </c>
      <c r="R1" s="187" t="s">
        <v>303</v>
      </c>
      <c r="S1" s="187" t="s">
        <v>304</v>
      </c>
      <c r="T1" s="187" t="s">
        <v>305</v>
      </c>
      <c r="U1" s="189" t="s">
        <v>306</v>
      </c>
      <c r="V1" s="196" t="s">
        <v>307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204" t="s">
        <v>154</v>
      </c>
      <c r="AM1" s="189" t="s">
        <v>308</v>
      </c>
      <c r="AN1" s="206" t="s">
        <v>385</v>
      </c>
      <c r="AO1" s="189" t="s">
        <v>310</v>
      </c>
      <c r="AQ1" s="203" t="s">
        <v>140</v>
      </c>
      <c r="AR1" s="203"/>
      <c r="AS1" s="203" t="s">
        <v>141</v>
      </c>
      <c r="AT1" s="203"/>
      <c r="AU1" s="131" t="s">
        <v>153</v>
      </c>
    </row>
    <row r="2" spans="1:47" x14ac:dyDescent="0.3">
      <c r="A2" s="100" t="s">
        <v>205</v>
      </c>
      <c r="B2" s="101" t="s">
        <v>349</v>
      </c>
      <c r="C2" s="40"/>
      <c r="D2" s="192"/>
      <c r="E2" s="192"/>
      <c r="F2" s="192"/>
      <c r="G2" s="192"/>
      <c r="H2" s="192"/>
      <c r="I2" s="192"/>
      <c r="J2" s="190"/>
      <c r="K2" s="190"/>
      <c r="L2" s="91" t="s">
        <v>315</v>
      </c>
      <c r="M2" s="91" t="s">
        <v>316</v>
      </c>
      <c r="N2" s="188"/>
      <c r="O2" s="188"/>
      <c r="P2" s="188"/>
      <c r="Q2" s="188"/>
      <c r="R2" s="188"/>
      <c r="S2" s="188"/>
      <c r="T2" s="188"/>
      <c r="U2" s="190"/>
      <c r="V2" s="91" t="s">
        <v>317</v>
      </c>
      <c r="W2" s="91" t="s">
        <v>318</v>
      </c>
      <c r="X2" s="91" t="s">
        <v>319</v>
      </c>
      <c r="Y2" s="91" t="s">
        <v>320</v>
      </c>
      <c r="Z2" s="91" t="s">
        <v>321</v>
      </c>
      <c r="AA2" s="91" t="s">
        <v>322</v>
      </c>
      <c r="AB2" s="91" t="s">
        <v>323</v>
      </c>
      <c r="AC2" s="91" t="s">
        <v>324</v>
      </c>
      <c r="AD2" s="91" t="s">
        <v>325</v>
      </c>
      <c r="AE2" s="91" t="s">
        <v>326</v>
      </c>
      <c r="AF2" s="91" t="s">
        <v>327</v>
      </c>
      <c r="AG2" s="91" t="s">
        <v>328</v>
      </c>
      <c r="AH2" s="91" t="s">
        <v>329</v>
      </c>
      <c r="AI2" s="180" t="s">
        <v>395</v>
      </c>
      <c r="AJ2" s="91" t="s">
        <v>330</v>
      </c>
      <c r="AK2" s="91" t="s">
        <v>331</v>
      </c>
      <c r="AL2" s="205"/>
      <c r="AM2" s="190"/>
      <c r="AN2" s="207"/>
      <c r="AO2" s="208"/>
      <c r="AQ2" s="87" t="s">
        <v>138</v>
      </c>
      <c r="AR2" s="87" t="s">
        <v>139</v>
      </c>
      <c r="AS2" s="87" t="s">
        <v>138</v>
      </c>
      <c r="AT2" s="87" t="s">
        <v>139</v>
      </c>
      <c r="AU2" s="87" t="s">
        <v>138</v>
      </c>
    </row>
    <row r="3" spans="1:47" x14ac:dyDescent="0.3">
      <c r="A3" s="88" t="s">
        <v>332</v>
      </c>
      <c r="B3" s="102">
        <v>0.02</v>
      </c>
      <c r="C3" s="40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40"/>
      <c r="J3" s="107"/>
      <c r="K3" s="107"/>
      <c r="L3" s="107">
        <v>54</v>
      </c>
      <c r="M3" s="107">
        <v>84</v>
      </c>
      <c r="N3" s="107">
        <v>2</v>
      </c>
      <c r="O3" s="107">
        <v>5</v>
      </c>
      <c r="P3" s="107"/>
      <c r="Q3" s="107"/>
      <c r="R3" s="107"/>
      <c r="S3" s="107"/>
      <c r="T3" s="107"/>
      <c r="U3" s="107">
        <f>SUM(L3:T3)</f>
        <v>145</v>
      </c>
      <c r="V3" s="107">
        <v>38.4</v>
      </c>
      <c r="W3" s="107">
        <v>5</v>
      </c>
      <c r="X3" s="107">
        <v>12</v>
      </c>
      <c r="Y3" s="107">
        <v>3</v>
      </c>
      <c r="Z3" s="107">
        <v>22.8</v>
      </c>
      <c r="AA3" s="107">
        <v>4.08</v>
      </c>
      <c r="AB3" s="107">
        <v>4.5</v>
      </c>
      <c r="AC3" s="107">
        <v>13.6</v>
      </c>
      <c r="AD3" s="107">
        <v>4.88</v>
      </c>
      <c r="AE3" s="107">
        <v>3.8</v>
      </c>
      <c r="AF3" s="107">
        <v>13</v>
      </c>
      <c r="AG3" s="107">
        <v>12</v>
      </c>
      <c r="AH3" s="107">
        <v>6.2</v>
      </c>
      <c r="AI3" s="107"/>
      <c r="AJ3" s="107"/>
      <c r="AK3" s="107"/>
      <c r="AL3" s="107"/>
      <c r="AM3" s="107">
        <f>SUM(V3:AL3)</f>
        <v>143.26</v>
      </c>
      <c r="AN3" s="110">
        <f t="shared" ref="AN3:AN53" si="0">U3-AM3</f>
        <v>1.7400000000000091</v>
      </c>
      <c r="AO3" s="110">
        <v>55</v>
      </c>
      <c r="AP3" s="107"/>
      <c r="AQ3" s="112"/>
      <c r="AR3" s="112"/>
      <c r="AS3" s="112">
        <v>90</v>
      </c>
      <c r="AT3" s="112">
        <v>90</v>
      </c>
      <c r="AU3" s="112">
        <v>50</v>
      </c>
    </row>
    <row r="4" spans="1:47" x14ac:dyDescent="0.3">
      <c r="A4" s="88" t="s">
        <v>333</v>
      </c>
      <c r="B4" s="102">
        <v>0.02</v>
      </c>
      <c r="C4" s="40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40"/>
      <c r="J4" s="107">
        <f>AO3</f>
        <v>55</v>
      </c>
      <c r="K4" s="107">
        <v>0.04</v>
      </c>
      <c r="L4" s="107">
        <f t="shared" ref="L4:L27" si="1">L3*(1+$B$4)</f>
        <v>55.08</v>
      </c>
      <c r="M4" s="107">
        <f t="shared" ref="M4:M27" si="2">M3*(1+$B$5)</f>
        <v>84.84</v>
      </c>
      <c r="N4" s="107">
        <f>J4*K4</f>
        <v>2.2000000000000002</v>
      </c>
      <c r="O4" s="107">
        <f>O3*(1+$B$3)</f>
        <v>5.0999999999999996</v>
      </c>
      <c r="P4" s="107"/>
      <c r="Q4" s="107"/>
      <c r="R4" s="107"/>
      <c r="S4" s="107"/>
      <c r="T4" s="107"/>
      <c r="U4" s="107">
        <f t="shared" ref="U4:U52" si="3">SUM(L4:T4)</f>
        <v>147.22</v>
      </c>
      <c r="V4" s="107">
        <v>38.4</v>
      </c>
      <c r="W4" s="107">
        <f>W3*(1+$B$3)</f>
        <v>5.0999999999999996</v>
      </c>
      <c r="X4" s="107">
        <v>12</v>
      </c>
      <c r="Y4" s="107">
        <f>Y3*(1+$B$3)</f>
        <v>3.06</v>
      </c>
      <c r="Z4" s="107">
        <f t="shared" ref="Y4:Z8" si="4">Z3*(1+$B$3)</f>
        <v>23.256</v>
      </c>
      <c r="AA4" s="107">
        <v>4.08</v>
      </c>
      <c r="AB4" s="107">
        <v>4.7</v>
      </c>
      <c r="AC4" s="107">
        <v>13.6</v>
      </c>
      <c r="AD4" s="107">
        <f>AD3*(1+$B$3)</f>
        <v>4.9775999999999998</v>
      </c>
      <c r="AE4" s="107">
        <f t="shared" ref="AD4:AF19" si="5">AE3*(1+$B$3)</f>
        <v>3.8759999999999999</v>
      </c>
      <c r="AF4" s="107">
        <f>AF3*(1+$B$3)</f>
        <v>13.26</v>
      </c>
      <c r="AG4" s="107">
        <v>12</v>
      </c>
      <c r="AH4" s="107">
        <f>AH3*(1+$B$3)</f>
        <v>6.3240000000000007</v>
      </c>
      <c r="AI4" s="107"/>
      <c r="AJ4" s="107"/>
      <c r="AK4" s="107"/>
      <c r="AL4" s="176">
        <v>-5</v>
      </c>
      <c r="AM4" s="107">
        <f t="shared" ref="AM4:AM53" si="6">SUM(V4:AL4)</f>
        <v>139.6336</v>
      </c>
      <c r="AN4" s="110">
        <f t="shared" si="0"/>
        <v>7.5863999999999976</v>
      </c>
      <c r="AO4" s="110">
        <f t="shared" ref="AO4:AO53" si="7">J4+AN4</f>
        <v>62.586399999999998</v>
      </c>
      <c r="AP4" s="107"/>
      <c r="AQ4" s="112">
        <f t="shared" ref="AQ4:AQ27" si="8">L4*0.06</f>
        <v>3.3047999999999997</v>
      </c>
      <c r="AR4" s="112">
        <f>3.82*12*0.06</f>
        <v>2.7503999999999995</v>
      </c>
      <c r="AS4" s="112">
        <f t="shared" ref="AS4:AS27" si="9">AS3*(1+$B$6)+AQ4</f>
        <v>96.904800000000009</v>
      </c>
      <c r="AT4" s="112">
        <f t="shared" ref="AT4:AT27" si="10">AT3*(1+$B$6)+AR4</f>
        <v>96.350400000000008</v>
      </c>
      <c r="AU4" s="112">
        <f t="shared" ref="AU4:AU13" si="11">AU3*(1+$B$7) + 6</f>
        <v>58</v>
      </c>
    </row>
    <row r="5" spans="1:47" x14ac:dyDescent="0.3">
      <c r="A5" s="88" t="s">
        <v>334</v>
      </c>
      <c r="B5" s="102">
        <v>0.01</v>
      </c>
      <c r="C5" s="40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40"/>
      <c r="J5" s="107">
        <f>AO4</f>
        <v>62.586399999999998</v>
      </c>
      <c r="K5" s="107">
        <v>0.04</v>
      </c>
      <c r="L5" s="107">
        <f t="shared" si="1"/>
        <v>56.181599999999996</v>
      </c>
      <c r="M5" s="107">
        <f t="shared" si="2"/>
        <v>85.688400000000001</v>
      </c>
      <c r="N5" s="107">
        <f>J5*K5</f>
        <v>2.5034559999999999</v>
      </c>
      <c r="O5" s="107">
        <f t="shared" ref="O5:Q30" si="12">O4*(1+$B$3)</f>
        <v>5.202</v>
      </c>
      <c r="P5" s="107"/>
      <c r="Q5" s="107"/>
      <c r="R5" s="107"/>
      <c r="S5" s="107"/>
      <c r="T5" s="107"/>
      <c r="U5" s="107">
        <f t="shared" si="3"/>
        <v>149.575456</v>
      </c>
      <c r="V5" s="107">
        <v>38.4</v>
      </c>
      <c r="W5" s="107">
        <f>W4*(1+$B$3)</f>
        <v>5.202</v>
      </c>
      <c r="X5" s="107">
        <v>12</v>
      </c>
      <c r="Y5" s="107">
        <f t="shared" si="4"/>
        <v>3.1212</v>
      </c>
      <c r="Z5" s="107">
        <f t="shared" si="4"/>
        <v>23.721119999999999</v>
      </c>
      <c r="AA5" s="107">
        <v>4.08</v>
      </c>
      <c r="AB5" s="107">
        <v>4.9000000000000004</v>
      </c>
      <c r="AC5" s="107">
        <v>13.6</v>
      </c>
      <c r="AD5" s="107">
        <f t="shared" si="5"/>
        <v>5.0771519999999999</v>
      </c>
      <c r="AE5" s="107">
        <f t="shared" si="5"/>
        <v>3.9535200000000001</v>
      </c>
      <c r="AF5" s="107">
        <f t="shared" si="5"/>
        <v>13.5252</v>
      </c>
      <c r="AG5" s="107">
        <v>12</v>
      </c>
      <c r="AH5" s="107">
        <f t="shared" ref="AH5:AI20" si="13">AH4*(1+$B$3)</f>
        <v>6.4504800000000007</v>
      </c>
      <c r="AI5" s="107"/>
      <c r="AJ5" s="107"/>
      <c r="AK5" s="107"/>
      <c r="AL5" s="176">
        <v>-5</v>
      </c>
      <c r="AM5" s="107">
        <f t="shared" si="6"/>
        <v>141.03067200000001</v>
      </c>
      <c r="AN5" s="110">
        <f t="shared" si="0"/>
        <v>8.5447839999999928</v>
      </c>
      <c r="AO5" s="110">
        <f t="shared" si="7"/>
        <v>71.13118399999999</v>
      </c>
      <c r="AP5" s="107"/>
      <c r="AQ5" s="112">
        <f t="shared" si="8"/>
        <v>3.3708959999999997</v>
      </c>
      <c r="AR5" s="112">
        <f t="shared" ref="AR5:AR27" si="14">3.82*12*0.06</f>
        <v>2.7503999999999995</v>
      </c>
      <c r="AS5" s="112">
        <f t="shared" si="9"/>
        <v>104.15188800000001</v>
      </c>
      <c r="AT5" s="112">
        <f t="shared" si="10"/>
        <v>102.95481600000001</v>
      </c>
      <c r="AU5" s="112">
        <f t="shared" si="11"/>
        <v>66.319999999999993</v>
      </c>
    </row>
    <row r="6" spans="1:47" x14ac:dyDescent="0.3">
      <c r="A6" s="88" t="s">
        <v>335</v>
      </c>
      <c r="B6" s="102">
        <v>0.04</v>
      </c>
      <c r="C6" s="40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40"/>
      <c r="J6" s="107">
        <f>AO5</f>
        <v>71.13118399999999</v>
      </c>
      <c r="K6" s="107">
        <v>0.04</v>
      </c>
      <c r="L6" s="107">
        <f t="shared" si="1"/>
        <v>57.305231999999997</v>
      </c>
      <c r="M6" s="107">
        <f t="shared" si="2"/>
        <v>86.545283999999995</v>
      </c>
      <c r="N6" s="107">
        <f>J6*K6</f>
        <v>2.8452473599999997</v>
      </c>
      <c r="O6" s="107">
        <f t="shared" si="12"/>
        <v>5.3060400000000003</v>
      </c>
      <c r="P6" s="107"/>
      <c r="Q6" s="107"/>
      <c r="R6" s="107"/>
      <c r="S6" s="107"/>
      <c r="T6" s="107"/>
      <c r="U6" s="107">
        <f t="shared" si="3"/>
        <v>152.00180336</v>
      </c>
      <c r="V6" s="107">
        <v>38.4</v>
      </c>
      <c r="W6" s="107">
        <f>W5*(1+$B$3)</f>
        <v>5.3060400000000003</v>
      </c>
      <c r="X6" s="107">
        <v>12</v>
      </c>
      <c r="Y6" s="107">
        <f t="shared" si="4"/>
        <v>3.183624</v>
      </c>
      <c r="Z6" s="107">
        <f t="shared" si="4"/>
        <v>24.195542400000001</v>
      </c>
      <c r="AA6" s="107">
        <v>4.08</v>
      </c>
      <c r="AB6" s="107">
        <v>5.3</v>
      </c>
      <c r="AC6" s="107">
        <v>13.6</v>
      </c>
      <c r="AD6" s="107">
        <f t="shared" si="5"/>
        <v>5.17869504</v>
      </c>
      <c r="AE6" s="107">
        <f t="shared" si="5"/>
        <v>4.0325904000000001</v>
      </c>
      <c r="AF6" s="107">
        <f t="shared" si="5"/>
        <v>13.795704000000001</v>
      </c>
      <c r="AG6" s="107">
        <v>12</v>
      </c>
      <c r="AH6" s="107">
        <f t="shared" si="13"/>
        <v>6.5794896000000005</v>
      </c>
      <c r="AI6" s="107"/>
      <c r="AJ6" s="107"/>
      <c r="AK6" s="107"/>
      <c r="AL6" s="176">
        <v>-5</v>
      </c>
      <c r="AM6" s="107">
        <f t="shared" si="6"/>
        <v>142.65168543999999</v>
      </c>
      <c r="AN6" s="110">
        <f t="shared" si="0"/>
        <v>9.3501179200000024</v>
      </c>
      <c r="AO6" s="110">
        <f t="shared" si="7"/>
        <v>80.481301919999993</v>
      </c>
      <c r="AP6" s="107"/>
      <c r="AQ6" s="112">
        <f t="shared" si="8"/>
        <v>3.4383139199999997</v>
      </c>
      <c r="AR6" s="112">
        <f t="shared" si="14"/>
        <v>2.7503999999999995</v>
      </c>
      <c r="AS6" s="112">
        <f t="shared" si="9"/>
        <v>111.75627744000002</v>
      </c>
      <c r="AT6" s="112">
        <f t="shared" si="10"/>
        <v>109.82340864000001</v>
      </c>
      <c r="AU6" s="112">
        <f t="shared" si="11"/>
        <v>74.972799999999992</v>
      </c>
    </row>
    <row r="7" spans="1:47" x14ac:dyDescent="0.3">
      <c r="A7" s="95" t="s">
        <v>336</v>
      </c>
      <c r="B7" s="103">
        <v>0.04</v>
      </c>
      <c r="C7" s="40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40" t="s">
        <v>136</v>
      </c>
      <c r="J7" s="107">
        <f>AO6</f>
        <v>80.481301919999993</v>
      </c>
      <c r="K7" s="107">
        <v>0.04</v>
      </c>
      <c r="L7" s="107">
        <f t="shared" si="1"/>
        <v>58.451336640000001</v>
      </c>
      <c r="M7" s="107">
        <f t="shared" si="2"/>
        <v>87.410736839999998</v>
      </c>
      <c r="N7" s="107">
        <f>J7*K7</f>
        <v>3.2192520767999997</v>
      </c>
      <c r="O7" s="107">
        <f t="shared" si="12"/>
        <v>5.4121608000000005</v>
      </c>
      <c r="P7" s="107"/>
      <c r="Q7" s="107"/>
      <c r="R7" s="107"/>
      <c r="S7" s="107"/>
      <c r="T7" s="107"/>
      <c r="U7" s="107">
        <f t="shared" si="3"/>
        <v>154.49348635679999</v>
      </c>
      <c r="V7" s="107">
        <v>38.4</v>
      </c>
      <c r="W7" s="107">
        <f>W6*(1+$B$3)</f>
        <v>5.4121608000000005</v>
      </c>
      <c r="X7" s="107">
        <v>12</v>
      </c>
      <c r="Y7" s="107">
        <f t="shared" si="4"/>
        <v>3.2472964800000002</v>
      </c>
      <c r="Z7" s="107">
        <f t="shared" si="4"/>
        <v>24.679453248000002</v>
      </c>
      <c r="AA7" s="107">
        <v>4.08</v>
      </c>
      <c r="AB7" s="107">
        <v>5.5</v>
      </c>
      <c r="AC7" s="107">
        <v>13.6</v>
      </c>
      <c r="AD7" s="107">
        <f t="shared" si="5"/>
        <v>5.2822689407999999</v>
      </c>
      <c r="AE7" s="107">
        <f t="shared" si="5"/>
        <v>4.113242208</v>
      </c>
      <c r="AF7" s="107">
        <f t="shared" si="5"/>
        <v>14.07161808</v>
      </c>
      <c r="AG7" s="107">
        <v>12</v>
      </c>
      <c r="AH7" s="107">
        <f t="shared" si="13"/>
        <v>6.7110793920000003</v>
      </c>
      <c r="AI7" s="107"/>
      <c r="AJ7" s="107"/>
      <c r="AK7" s="117">
        <f>理財目標費用終值!D16</f>
        <v>21.648643199999999</v>
      </c>
      <c r="AL7" s="176">
        <v>-5</v>
      </c>
      <c r="AM7" s="107">
        <f t="shared" si="6"/>
        <v>165.74576234879999</v>
      </c>
      <c r="AN7" s="110">
        <f t="shared" si="0"/>
        <v>-11.252275991999994</v>
      </c>
      <c r="AO7" s="110">
        <f t="shared" si="7"/>
        <v>69.229025927999999</v>
      </c>
      <c r="AP7" s="107"/>
      <c r="AQ7" s="112">
        <f t="shared" si="8"/>
        <v>3.5070801983999997</v>
      </c>
      <c r="AR7" s="112">
        <f t="shared" si="14"/>
        <v>2.7503999999999995</v>
      </c>
      <c r="AS7" s="112">
        <f t="shared" si="9"/>
        <v>119.73360873600002</v>
      </c>
      <c r="AT7" s="112">
        <f t="shared" si="10"/>
        <v>116.96674498560002</v>
      </c>
      <c r="AU7" s="112">
        <f t="shared" si="11"/>
        <v>83.971711999999997</v>
      </c>
    </row>
    <row r="8" spans="1:47" x14ac:dyDescent="0.3">
      <c r="C8" s="40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40" t="s">
        <v>144</v>
      </c>
      <c r="J8" s="107">
        <f>AO7</f>
        <v>69.229025927999999</v>
      </c>
      <c r="K8" s="107">
        <v>0.04</v>
      </c>
      <c r="L8" s="107">
        <f t="shared" si="1"/>
        <v>59.6203633728</v>
      </c>
      <c r="M8" s="107">
        <f t="shared" si="2"/>
        <v>88.284844208400003</v>
      </c>
      <c r="N8" s="107">
        <f>J8*K8</f>
        <v>2.7691610371199999</v>
      </c>
      <c r="O8" s="107">
        <f t="shared" si="12"/>
        <v>5.5204040160000005</v>
      </c>
      <c r="P8" s="107"/>
      <c r="Q8" s="107"/>
      <c r="R8" s="107"/>
      <c r="S8" s="107"/>
      <c r="T8" s="107"/>
      <c r="U8" s="107">
        <f t="shared" si="3"/>
        <v>156.19477263431997</v>
      </c>
      <c r="V8" s="107">
        <v>38.4</v>
      </c>
      <c r="W8" s="107">
        <f>W7*(1+$B$3)</f>
        <v>5.5204040160000005</v>
      </c>
      <c r="X8" s="107"/>
      <c r="Y8" s="107">
        <f t="shared" si="4"/>
        <v>3.3122424096</v>
      </c>
      <c r="Z8" s="107">
        <f>Z7*(1+$B$3)*(3/4)</f>
        <v>18.879781734720002</v>
      </c>
      <c r="AA8" s="107">
        <v>4.08</v>
      </c>
      <c r="AB8" s="107">
        <v>5.3</v>
      </c>
      <c r="AC8" s="107">
        <v>13.6</v>
      </c>
      <c r="AD8" s="107">
        <f t="shared" si="5"/>
        <v>5.3879143196159998</v>
      </c>
      <c r="AE8" s="107">
        <f t="shared" si="5"/>
        <v>4.19550705216</v>
      </c>
      <c r="AF8" s="107">
        <f>AF7*(1+$B$3)*0.5</f>
        <v>7.1765252208000003</v>
      </c>
      <c r="AG8" s="107">
        <v>12</v>
      </c>
      <c r="AH8" s="107">
        <f t="shared" si="13"/>
        <v>6.8453009798400002</v>
      </c>
      <c r="AI8" s="107"/>
      <c r="AJ8" s="107"/>
      <c r="AK8" s="117">
        <f>理財目標費用終值!D3</f>
        <v>27.602020079999999</v>
      </c>
      <c r="AL8" s="176">
        <v>-5</v>
      </c>
      <c r="AM8" s="107">
        <f t="shared" si="6"/>
        <v>147.29969581273599</v>
      </c>
      <c r="AN8" s="110">
        <f t="shared" si="0"/>
        <v>8.8950768215839844</v>
      </c>
      <c r="AO8" s="110">
        <f t="shared" si="7"/>
        <v>78.124102749583983</v>
      </c>
      <c r="AP8" s="107"/>
      <c r="AQ8" s="112">
        <f t="shared" si="8"/>
        <v>3.5772218023679998</v>
      </c>
      <c r="AR8" s="112">
        <f t="shared" si="14"/>
        <v>2.7503999999999995</v>
      </c>
      <c r="AS8" s="112">
        <f t="shared" si="9"/>
        <v>128.10017488780801</v>
      </c>
      <c r="AT8" s="112">
        <f t="shared" si="10"/>
        <v>124.39581478502402</v>
      </c>
      <c r="AU8" s="112">
        <f t="shared" si="11"/>
        <v>93.330580479999995</v>
      </c>
    </row>
    <row r="9" spans="1:47" x14ac:dyDescent="0.3">
      <c r="A9" s="40"/>
      <c r="B9" s="54"/>
      <c r="C9" s="40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40" t="s">
        <v>145</v>
      </c>
      <c r="J9" s="107">
        <f t="shared" ref="J9:J53" si="15">AO8</f>
        <v>78.124102749583983</v>
      </c>
      <c r="K9" s="107">
        <v>0.04</v>
      </c>
      <c r="L9" s="107">
        <f t="shared" si="1"/>
        <v>60.812770640255998</v>
      </c>
      <c r="M9" s="107">
        <f t="shared" si="2"/>
        <v>89.167692650484</v>
      </c>
      <c r="N9" s="107">
        <v>3</v>
      </c>
      <c r="O9" s="107">
        <f t="shared" si="12"/>
        <v>5.6308120963200006</v>
      </c>
      <c r="P9" s="107"/>
      <c r="Q9" s="107"/>
      <c r="R9" s="107"/>
      <c r="S9" s="107"/>
      <c r="T9" s="107"/>
      <c r="U9" s="107">
        <f t="shared" si="3"/>
        <v>158.61127538706</v>
      </c>
      <c r="V9" s="107">
        <v>38.4</v>
      </c>
      <c r="W9" s="107">
        <v>6</v>
      </c>
      <c r="X9" s="107"/>
      <c r="Y9" s="107">
        <v>4</v>
      </c>
      <c r="Z9" s="107">
        <f>Z8*(1+$B$3)</f>
        <v>19.257377369414403</v>
      </c>
      <c r="AA9" s="107">
        <v>4.08</v>
      </c>
      <c r="AB9" s="107">
        <v>5.6</v>
      </c>
      <c r="AC9" s="107">
        <v>13.6</v>
      </c>
      <c r="AD9" s="107">
        <f t="shared" si="5"/>
        <v>5.4956726060083199</v>
      </c>
      <c r="AE9" s="107">
        <f>AE8*(1+$B$3)</f>
        <v>4.2794171932031997</v>
      </c>
      <c r="AF9" s="107">
        <f>AF8*(1+$B$3)</f>
        <v>7.3200557252160001</v>
      </c>
      <c r="AG9" s="107">
        <v>12</v>
      </c>
      <c r="AH9" s="107">
        <f t="shared" si="13"/>
        <v>6.9822069994368006</v>
      </c>
      <c r="AI9" s="107"/>
      <c r="AJ9" s="107"/>
      <c r="AK9" s="117">
        <f>理財目標費用終值!D4</f>
        <v>28.154060481600002</v>
      </c>
      <c r="AL9" s="176">
        <v>-5</v>
      </c>
      <c r="AM9" s="107">
        <f t="shared" si="6"/>
        <v>150.16879037487871</v>
      </c>
      <c r="AN9" s="110">
        <f t="shared" si="0"/>
        <v>8.4424850121812938</v>
      </c>
      <c r="AO9" s="110">
        <f t="shared" si="7"/>
        <v>86.566587761765277</v>
      </c>
      <c r="AP9" s="107"/>
      <c r="AQ9" s="112">
        <f t="shared" si="8"/>
        <v>3.6487662384153596</v>
      </c>
      <c r="AR9" s="112">
        <f t="shared" si="14"/>
        <v>2.7503999999999995</v>
      </c>
      <c r="AS9" s="112">
        <f t="shared" si="9"/>
        <v>136.8729481217357</v>
      </c>
      <c r="AT9" s="112">
        <f t="shared" si="10"/>
        <v>132.122047376425</v>
      </c>
      <c r="AU9" s="112">
        <f t="shared" si="11"/>
        <v>103.06380369919999</v>
      </c>
    </row>
    <row r="10" spans="1:47" x14ac:dyDescent="0.3">
      <c r="A10" s="40"/>
      <c r="B10" s="54"/>
      <c r="C10" s="40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40" t="s">
        <v>146</v>
      </c>
      <c r="J10" s="107">
        <f t="shared" si="15"/>
        <v>86.566587761765277</v>
      </c>
      <c r="K10" s="107">
        <v>0.04</v>
      </c>
      <c r="L10" s="107">
        <f t="shared" si="1"/>
        <v>62.029026053061116</v>
      </c>
      <c r="M10" s="107">
        <f t="shared" si="2"/>
        <v>90.059369576988843</v>
      </c>
      <c r="N10" s="107">
        <f>J10*K10</f>
        <v>3.4626635104706112</v>
      </c>
      <c r="O10" s="107">
        <f t="shared" si="12"/>
        <v>5.7434283382464004</v>
      </c>
      <c r="P10" s="107"/>
      <c r="Q10" s="107"/>
      <c r="R10" s="107"/>
      <c r="S10" s="107"/>
      <c r="T10" s="107"/>
      <c r="U10" s="107">
        <f t="shared" si="3"/>
        <v>161.29448747876694</v>
      </c>
      <c r="V10" s="107">
        <v>38.4</v>
      </c>
      <c r="W10" s="107">
        <f t="shared" ref="W10:W26" si="16">W9*(1+$B$3)</f>
        <v>6.12</v>
      </c>
      <c r="X10" s="107"/>
      <c r="Y10" s="107">
        <f>Y9*(1+$B$3)</f>
        <v>4.08</v>
      </c>
      <c r="Z10" s="107">
        <f>Z9*(1+$B$3)*(2/3)</f>
        <v>13.095016611201794</v>
      </c>
      <c r="AA10" s="107">
        <v>4.08</v>
      </c>
      <c r="AB10" s="107">
        <v>5.0999999999999996</v>
      </c>
      <c r="AC10" s="107">
        <v>13.6</v>
      </c>
      <c r="AD10" s="107">
        <f t="shared" si="5"/>
        <v>5.6055860581284866</v>
      </c>
      <c r="AE10" s="107">
        <f t="shared" si="5"/>
        <v>4.3650055370672636</v>
      </c>
      <c r="AF10" s="107"/>
      <c r="AG10" s="107">
        <v>12</v>
      </c>
      <c r="AH10" s="107">
        <f t="shared" si="13"/>
        <v>7.1218511394255364</v>
      </c>
      <c r="AI10" s="107"/>
      <c r="AJ10" s="107"/>
      <c r="AK10" s="117">
        <f>理財目標費用終值!D5+理財目標費用終值!D8</f>
        <v>57.434283382463988</v>
      </c>
      <c r="AL10" s="176">
        <v>-5</v>
      </c>
      <c r="AM10" s="107">
        <f t="shared" si="6"/>
        <v>166.00174272828704</v>
      </c>
      <c r="AN10" s="110">
        <f t="shared" si="0"/>
        <v>-4.7072552495201023</v>
      </c>
      <c r="AO10" s="110">
        <f t="shared" si="7"/>
        <v>81.859332512245174</v>
      </c>
      <c r="AP10" s="107"/>
      <c r="AQ10" s="112">
        <f t="shared" si="8"/>
        <v>3.721741563183667</v>
      </c>
      <c r="AR10" s="112">
        <f t="shared" si="14"/>
        <v>2.7503999999999995</v>
      </c>
      <c r="AS10" s="112">
        <f t="shared" si="9"/>
        <v>146.06960760978879</v>
      </c>
      <c r="AT10" s="112">
        <f t="shared" si="10"/>
        <v>140.15732927148201</v>
      </c>
      <c r="AU10" s="112">
        <f t="shared" si="11"/>
        <v>113.186355847168</v>
      </c>
    </row>
    <row r="11" spans="1:47" x14ac:dyDescent="0.3">
      <c r="A11" s="40"/>
      <c r="B11" s="54"/>
      <c r="C11" s="40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40" t="s">
        <v>147</v>
      </c>
      <c r="J11" s="107">
        <f t="shared" si="15"/>
        <v>81.859332512245174</v>
      </c>
      <c r="K11" s="107">
        <v>0.04</v>
      </c>
      <c r="L11" s="107">
        <f t="shared" si="1"/>
        <v>63.269606574122342</v>
      </c>
      <c r="M11" s="107">
        <f t="shared" si="2"/>
        <v>90.959963272758728</v>
      </c>
      <c r="N11" s="107">
        <f>J11*K11</f>
        <v>3.274373300489807</v>
      </c>
      <c r="O11" s="107">
        <f t="shared" si="12"/>
        <v>5.8582969050113283</v>
      </c>
      <c r="P11" s="107"/>
      <c r="Q11" s="107"/>
      <c r="R11" s="107"/>
      <c r="S11" s="107"/>
      <c r="T11" s="107"/>
      <c r="U11" s="107">
        <f t="shared" si="3"/>
        <v>163.36224005238219</v>
      </c>
      <c r="V11" s="107">
        <v>38.4</v>
      </c>
      <c r="W11" s="107">
        <f t="shared" si="16"/>
        <v>6.2423999999999999</v>
      </c>
      <c r="X11" s="107"/>
      <c r="Y11" s="107">
        <f>Y10*(1+$B$3)</f>
        <v>4.1616</v>
      </c>
      <c r="Z11" s="107">
        <f>Z10*(1+$B$3)</f>
        <v>13.35691694342583</v>
      </c>
      <c r="AA11" s="107">
        <v>4.08</v>
      </c>
      <c r="AB11" s="107">
        <v>5.8</v>
      </c>
      <c r="AC11" s="107">
        <v>13.6</v>
      </c>
      <c r="AD11" s="107">
        <f t="shared" si="5"/>
        <v>5.7176977792910568</v>
      </c>
      <c r="AE11" s="107">
        <f t="shared" si="5"/>
        <v>4.4523056478086085</v>
      </c>
      <c r="AF11" s="107"/>
      <c r="AG11" s="107">
        <v>12</v>
      </c>
      <c r="AH11" s="107">
        <f t="shared" si="13"/>
        <v>7.2642881622140472</v>
      </c>
      <c r="AI11" s="107"/>
      <c r="AJ11" s="107"/>
      <c r="AK11" s="117">
        <f>理財目標費用終值!D6+理財目標費用終值!D9+理財目標費用終值!D17</f>
        <v>82.01615667015858</v>
      </c>
      <c r="AL11" s="176">
        <v>-5</v>
      </c>
      <c r="AM11" s="107">
        <f t="shared" si="6"/>
        <v>192.09136520289812</v>
      </c>
      <c r="AN11" s="110">
        <f t="shared" si="0"/>
        <v>-28.729125150515927</v>
      </c>
      <c r="AO11" s="110">
        <f t="shared" si="7"/>
        <v>53.130207361729248</v>
      </c>
      <c r="AP11" s="107"/>
      <c r="AQ11" s="112">
        <f t="shared" si="8"/>
        <v>3.7961763944473406</v>
      </c>
      <c r="AR11" s="112">
        <f t="shared" si="14"/>
        <v>2.7503999999999995</v>
      </c>
      <c r="AS11" s="112">
        <f t="shared" si="9"/>
        <v>155.70856830862769</v>
      </c>
      <c r="AT11" s="112">
        <f t="shared" si="10"/>
        <v>148.51402244234131</v>
      </c>
      <c r="AU11" s="112">
        <f t="shared" si="11"/>
        <v>123.71381008105473</v>
      </c>
    </row>
    <row r="12" spans="1:47" x14ac:dyDescent="0.3">
      <c r="A12" s="40"/>
      <c r="B12" s="54"/>
      <c r="C12" s="40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40" t="s">
        <v>148</v>
      </c>
      <c r="J12" s="107">
        <f t="shared" si="15"/>
        <v>53.130207361729248</v>
      </c>
      <c r="K12" s="107">
        <v>0.04</v>
      </c>
      <c r="L12" s="107">
        <f t="shared" si="1"/>
        <v>64.534998705604792</v>
      </c>
      <c r="M12" s="107">
        <f t="shared" si="2"/>
        <v>91.869562905486319</v>
      </c>
      <c r="N12" s="107">
        <f>J12*K12</f>
        <v>2.1252082944691701</v>
      </c>
      <c r="O12" s="107">
        <f t="shared" si="12"/>
        <v>5.9754628431115551</v>
      </c>
      <c r="P12" s="107"/>
      <c r="Q12" s="107"/>
      <c r="R12" s="107"/>
      <c r="S12" s="107"/>
      <c r="T12" s="107"/>
      <c r="U12" s="107">
        <f t="shared" si="3"/>
        <v>164.50523274867183</v>
      </c>
      <c r="V12" s="107">
        <v>38.4</v>
      </c>
      <c r="W12" s="107">
        <f t="shared" si="16"/>
        <v>6.367248</v>
      </c>
      <c r="X12" s="107"/>
      <c r="Y12" s="107">
        <f>Y11*(1+$B$3)</f>
        <v>4.2448319999999997</v>
      </c>
      <c r="Z12" s="107">
        <f>Z11*(1+$B$3)</f>
        <v>13.624055282294346</v>
      </c>
      <c r="AA12" s="107">
        <v>4.08</v>
      </c>
      <c r="AB12" s="107">
        <v>6.3</v>
      </c>
      <c r="AC12" s="107">
        <v>13.6</v>
      </c>
      <c r="AD12" s="107">
        <f t="shared" si="5"/>
        <v>5.8320517348768783</v>
      </c>
      <c r="AE12" s="107">
        <f t="shared" si="5"/>
        <v>4.5413517607647806</v>
      </c>
      <c r="AF12" s="107"/>
      <c r="AG12" s="107">
        <v>12</v>
      </c>
      <c r="AH12" s="107">
        <f t="shared" si="13"/>
        <v>7.4095739254583286</v>
      </c>
      <c r="AI12" s="107"/>
      <c r="AJ12" s="107"/>
      <c r="AK12" s="117">
        <f>理財目標費用終值!D10</f>
        <v>29.877314215557771</v>
      </c>
      <c r="AL12" s="176">
        <v>-5</v>
      </c>
      <c r="AM12" s="107">
        <f t="shared" si="6"/>
        <v>141.2764269189521</v>
      </c>
      <c r="AN12" s="110">
        <f t="shared" si="0"/>
        <v>23.228805829719732</v>
      </c>
      <c r="AO12" s="110">
        <f t="shared" si="7"/>
        <v>76.35901319144898</v>
      </c>
      <c r="AP12" s="107"/>
      <c r="AQ12" s="112">
        <f t="shared" si="8"/>
        <v>3.8720999223362873</v>
      </c>
      <c r="AR12" s="112">
        <f t="shared" si="14"/>
        <v>2.7503999999999995</v>
      </c>
      <c r="AS12" s="112">
        <f t="shared" si="9"/>
        <v>165.80901096330908</v>
      </c>
      <c r="AT12" s="112">
        <f t="shared" si="10"/>
        <v>157.204983340035</v>
      </c>
      <c r="AU12" s="112">
        <f t="shared" si="11"/>
        <v>134.66236248429692</v>
      </c>
    </row>
    <row r="13" spans="1:47" x14ac:dyDescent="0.3">
      <c r="A13" s="40"/>
      <c r="B13" s="54"/>
      <c r="C13" s="40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40" t="s">
        <v>149</v>
      </c>
      <c r="J13" s="107">
        <f t="shared" si="15"/>
        <v>76.35901319144898</v>
      </c>
      <c r="K13" s="107">
        <v>0.04</v>
      </c>
      <c r="L13" s="107">
        <f t="shared" si="1"/>
        <v>65.825698679716893</v>
      </c>
      <c r="M13" s="107">
        <f t="shared" si="2"/>
        <v>92.788258534541185</v>
      </c>
      <c r="N13" s="107">
        <f>J13*K13</f>
        <v>3.0543605276579591</v>
      </c>
      <c r="O13" s="107">
        <f t="shared" si="12"/>
        <v>6.094972099973786</v>
      </c>
      <c r="P13" s="107"/>
      <c r="Q13" s="107"/>
      <c r="R13" s="107"/>
      <c r="S13" s="107"/>
      <c r="T13" s="107"/>
      <c r="U13" s="107">
        <f t="shared" si="3"/>
        <v>167.76328984188982</v>
      </c>
      <c r="V13" s="107">
        <v>38.4</v>
      </c>
      <c r="W13" s="107">
        <f t="shared" si="16"/>
        <v>6.4945929600000003</v>
      </c>
      <c r="X13" s="107"/>
      <c r="Y13" s="107">
        <f>Y12*(1+$B$3)</f>
        <v>4.3297286399999999</v>
      </c>
      <c r="Z13" s="107">
        <f>Z12*(1+$B$3)</f>
        <v>13.896536387940234</v>
      </c>
      <c r="AA13" s="107">
        <v>4.08</v>
      </c>
      <c r="AB13" s="107">
        <v>6.6</v>
      </c>
      <c r="AC13" s="107">
        <v>13.6</v>
      </c>
      <c r="AD13" s="107">
        <f t="shared" si="5"/>
        <v>5.9486927695744161</v>
      </c>
      <c r="AE13" s="107">
        <f t="shared" si="5"/>
        <v>4.6321787959800762</v>
      </c>
      <c r="AF13" s="107"/>
      <c r="AG13" s="107">
        <f>12*2</f>
        <v>24</v>
      </c>
      <c r="AH13" s="107">
        <f t="shared" si="13"/>
        <v>7.5577654039674957</v>
      </c>
      <c r="AI13" s="107"/>
      <c r="AJ13" s="107"/>
      <c r="AK13" s="117">
        <f>理財目標費用終值!D11</f>
        <v>30.474860499868928</v>
      </c>
      <c r="AL13" s="176">
        <v>-5</v>
      </c>
      <c r="AM13" s="107">
        <f t="shared" si="6"/>
        <v>155.01435545733113</v>
      </c>
      <c r="AN13" s="110">
        <f t="shared" si="0"/>
        <v>12.74893438455868</v>
      </c>
      <c r="AO13" s="110">
        <f t="shared" si="7"/>
        <v>89.10794757600766</v>
      </c>
      <c r="AP13" s="107"/>
      <c r="AQ13" s="112">
        <f t="shared" si="8"/>
        <v>3.9495419207830134</v>
      </c>
      <c r="AR13" s="112">
        <f t="shared" si="14"/>
        <v>2.7503999999999995</v>
      </c>
      <c r="AS13" s="112">
        <f t="shared" si="9"/>
        <v>176.39091332262447</v>
      </c>
      <c r="AT13" s="112">
        <f t="shared" si="10"/>
        <v>166.24358267363641</v>
      </c>
      <c r="AU13" s="112">
        <f t="shared" si="11"/>
        <v>146.0488569836688</v>
      </c>
    </row>
    <row r="14" spans="1:47" x14ac:dyDescent="0.3">
      <c r="A14" s="40"/>
      <c r="B14" s="54"/>
      <c r="C14" s="40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40"/>
      <c r="J14" s="107">
        <f t="shared" si="15"/>
        <v>89.10794757600766</v>
      </c>
      <c r="K14" s="107">
        <v>0.04</v>
      </c>
      <c r="L14" s="107">
        <f t="shared" si="1"/>
        <v>67.142212653311233</v>
      </c>
      <c r="M14" s="107">
        <f t="shared" si="2"/>
        <v>93.716141119886601</v>
      </c>
      <c r="N14" s="107">
        <f>J14*K14</f>
        <v>3.5643179030403065</v>
      </c>
      <c r="O14" s="107">
        <f t="shared" si="12"/>
        <v>6.2168715419732621</v>
      </c>
      <c r="P14" s="107"/>
      <c r="Q14" s="107"/>
      <c r="R14" s="107"/>
      <c r="S14" s="107"/>
      <c r="T14" s="107"/>
      <c r="U14" s="107">
        <f t="shared" si="3"/>
        <v>170.63954321821143</v>
      </c>
      <c r="V14" s="107">
        <v>38.4</v>
      </c>
      <c r="W14" s="107">
        <f t="shared" si="16"/>
        <v>6.6244848192000001</v>
      </c>
      <c r="X14" s="107"/>
      <c r="Y14" s="107">
        <f>Y13*(1+$B$3)</f>
        <v>4.4163232128000001</v>
      </c>
      <c r="Z14" s="107">
        <f>Z13*(1+$B$3)</f>
        <v>14.17446711569904</v>
      </c>
      <c r="AA14" s="107">
        <v>4.08</v>
      </c>
      <c r="AB14" s="107">
        <v>7.2</v>
      </c>
      <c r="AC14" s="107">
        <v>7.6</v>
      </c>
      <c r="AD14" s="107">
        <f t="shared" si="5"/>
        <v>6.0676666249659048</v>
      </c>
      <c r="AE14" s="107">
        <f t="shared" si="5"/>
        <v>4.7248223718996778</v>
      </c>
      <c r="AF14" s="107"/>
      <c r="AG14" s="107">
        <f t="shared" ref="AG14:AG23" si="17">12*2</f>
        <v>24</v>
      </c>
      <c r="AH14" s="107">
        <f t="shared" si="13"/>
        <v>7.7089207120468455</v>
      </c>
      <c r="AI14" s="109">
        <v>24</v>
      </c>
      <c r="AJ14" s="107"/>
      <c r="AK14" s="117">
        <f>理財目標費用終值!D13*(1+B3)</f>
        <v>87.036201587625655</v>
      </c>
      <c r="AL14" s="107"/>
      <c r="AM14" s="107">
        <f t="shared" si="6"/>
        <v>236.03288644423714</v>
      </c>
      <c r="AN14" s="110">
        <f t="shared" si="0"/>
        <v>-65.393343226025706</v>
      </c>
      <c r="AO14" s="110">
        <f t="shared" si="7"/>
        <v>23.714604349981954</v>
      </c>
      <c r="AP14" s="107"/>
      <c r="AQ14" s="112">
        <f t="shared" si="8"/>
        <v>4.0285327591986739</v>
      </c>
      <c r="AR14" s="112">
        <f t="shared" si="14"/>
        <v>2.7503999999999995</v>
      </c>
      <c r="AS14" s="112">
        <f t="shared" si="9"/>
        <v>187.47508261472814</v>
      </c>
      <c r="AT14" s="112">
        <f t="shared" si="10"/>
        <v>175.64372598058188</v>
      </c>
      <c r="AU14" s="112">
        <f t="shared" ref="AU14:AU27" si="18">AU13*(1+$B$7)</f>
        <v>151.89081126301556</v>
      </c>
    </row>
    <row r="15" spans="1:47" x14ac:dyDescent="0.3">
      <c r="A15" s="40"/>
      <c r="B15" s="55"/>
      <c r="C15" s="40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40"/>
      <c r="J15" s="107">
        <f t="shared" si="15"/>
        <v>23.714604349981954</v>
      </c>
      <c r="K15" s="107">
        <v>0.04</v>
      </c>
      <c r="L15" s="107">
        <f t="shared" si="1"/>
        <v>68.485056906377466</v>
      </c>
      <c r="M15" s="107">
        <f t="shared" si="2"/>
        <v>94.653302531085473</v>
      </c>
      <c r="N15" s="107">
        <v>4</v>
      </c>
      <c r="O15" s="107">
        <f t="shared" si="12"/>
        <v>6.3412089728127272</v>
      </c>
      <c r="P15" s="107"/>
      <c r="Q15" s="107"/>
      <c r="R15" s="107"/>
      <c r="S15" s="107"/>
      <c r="T15" s="107"/>
      <c r="U15" s="107">
        <f t="shared" si="3"/>
        <v>173.47956841027568</v>
      </c>
      <c r="V15" s="107">
        <v>38.4</v>
      </c>
      <c r="W15" s="107">
        <v>7</v>
      </c>
      <c r="X15" s="107"/>
      <c r="Y15" s="107">
        <v>5</v>
      </c>
      <c r="Z15" s="179">
        <f>Z14*(1+$B$3)</f>
        <v>14.457956458013021</v>
      </c>
      <c r="AA15" s="107">
        <v>4.08</v>
      </c>
      <c r="AB15" s="107">
        <v>7.5</v>
      </c>
      <c r="AC15" s="107">
        <v>7.6</v>
      </c>
      <c r="AD15" s="107">
        <f t="shared" si="5"/>
        <v>6.1890199574652227</v>
      </c>
      <c r="AE15" s="107">
        <f t="shared" si="5"/>
        <v>4.8193188193376715</v>
      </c>
      <c r="AF15" s="107"/>
      <c r="AG15" s="107">
        <f t="shared" si="17"/>
        <v>24</v>
      </c>
      <c r="AH15" s="107">
        <f t="shared" si="13"/>
        <v>7.863099126287783</v>
      </c>
      <c r="AI15" s="109">
        <f>AI14*(1+$B$3)</f>
        <v>24.48</v>
      </c>
      <c r="AJ15" s="107"/>
      <c r="AK15" s="125"/>
      <c r="AL15" s="107"/>
      <c r="AM15" s="107">
        <f t="shared" si="6"/>
        <v>151.38939436110368</v>
      </c>
      <c r="AN15" s="110">
        <f t="shared" si="0"/>
        <v>22.090174049171992</v>
      </c>
      <c r="AO15" s="110">
        <f t="shared" si="7"/>
        <v>45.804778399153946</v>
      </c>
      <c r="AP15" s="107"/>
      <c r="AQ15" s="112">
        <f t="shared" si="8"/>
        <v>4.1091034143826475</v>
      </c>
      <c r="AR15" s="112">
        <f t="shared" si="14"/>
        <v>2.7503999999999995</v>
      </c>
      <c r="AS15" s="112">
        <f t="shared" si="9"/>
        <v>199.08318933369992</v>
      </c>
      <c r="AT15" s="112">
        <f t="shared" si="10"/>
        <v>185.41987501980518</v>
      </c>
      <c r="AU15" s="112">
        <f t="shared" si="18"/>
        <v>157.96644371353619</v>
      </c>
    </row>
    <row r="16" spans="1:47" x14ac:dyDescent="0.3">
      <c r="A16" s="40"/>
      <c r="B16" s="40"/>
      <c r="C16" s="40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40"/>
      <c r="J16" s="107">
        <f t="shared" si="15"/>
        <v>45.804778399153946</v>
      </c>
      <c r="K16" s="107">
        <v>0.04</v>
      </c>
      <c r="L16" s="107">
        <f t="shared" si="1"/>
        <v>69.854758044505019</v>
      </c>
      <c r="M16" s="107">
        <f t="shared" si="2"/>
        <v>95.599835556396329</v>
      </c>
      <c r="N16" s="107">
        <f t="shared" ref="N16:N53" si="19">J16*K16</f>
        <v>1.8321911359661578</v>
      </c>
      <c r="O16" s="107">
        <f t="shared" si="12"/>
        <v>6.4680331522689816</v>
      </c>
      <c r="P16" s="107"/>
      <c r="Q16" s="107"/>
      <c r="R16" s="107"/>
      <c r="S16" s="107"/>
      <c r="T16" s="107"/>
      <c r="U16" s="107">
        <f t="shared" si="3"/>
        <v>173.75481788913649</v>
      </c>
      <c r="V16" s="107">
        <v>38.4</v>
      </c>
      <c r="W16" s="107">
        <f>W15*(1+$B$3)</f>
        <v>7.1400000000000006</v>
      </c>
      <c r="X16" s="107"/>
      <c r="Y16" s="107">
        <f>Y15*(1+$B$3)</f>
        <v>5.0999999999999996</v>
      </c>
      <c r="Z16" s="179">
        <f t="shared" ref="Z16:Z27" si="20">Z15*(1+$B$3)</f>
        <v>14.747115587173282</v>
      </c>
      <c r="AA16" s="107">
        <v>4.08</v>
      </c>
      <c r="AB16" s="107">
        <v>7.8</v>
      </c>
      <c r="AC16" s="107">
        <v>7.6</v>
      </c>
      <c r="AD16" s="107">
        <f t="shared" si="5"/>
        <v>6.3128003566145274</v>
      </c>
      <c r="AE16" s="107">
        <f t="shared" si="5"/>
        <v>4.9157051957244251</v>
      </c>
      <c r="AF16" s="107"/>
      <c r="AG16" s="107">
        <f t="shared" si="17"/>
        <v>24</v>
      </c>
      <c r="AH16" s="107">
        <f t="shared" si="13"/>
        <v>8.0203611088135389</v>
      </c>
      <c r="AI16" s="109">
        <f t="shared" si="13"/>
        <v>24.9696</v>
      </c>
      <c r="AJ16" s="107"/>
      <c r="AK16" s="117"/>
      <c r="AL16" s="107"/>
      <c r="AM16" s="107">
        <f t="shared" si="6"/>
        <v>153.08558224832575</v>
      </c>
      <c r="AN16" s="110">
        <f t="shared" si="0"/>
        <v>20.66923564081074</v>
      </c>
      <c r="AO16" s="110">
        <f t="shared" si="7"/>
        <v>66.474014039964686</v>
      </c>
      <c r="AP16" s="107"/>
      <c r="AQ16" s="112">
        <f t="shared" si="8"/>
        <v>4.1912854826703008</v>
      </c>
      <c r="AR16" s="112">
        <f t="shared" si="14"/>
        <v>2.7503999999999995</v>
      </c>
      <c r="AS16" s="112">
        <f t="shared" si="9"/>
        <v>211.23780238971824</v>
      </c>
      <c r="AT16" s="112">
        <f t="shared" si="10"/>
        <v>195.58707002059739</v>
      </c>
      <c r="AU16" s="112">
        <f t="shared" si="18"/>
        <v>164.28510146207765</v>
      </c>
    </row>
    <row r="17" spans="1:47" x14ac:dyDescent="0.3">
      <c r="A17" s="40"/>
      <c r="B17" s="55"/>
      <c r="C17" s="40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40"/>
      <c r="J17" s="107">
        <f t="shared" si="15"/>
        <v>66.474014039964686</v>
      </c>
      <c r="K17" s="107">
        <v>0.04</v>
      </c>
      <c r="L17" s="107">
        <f t="shared" si="1"/>
        <v>71.251853205395122</v>
      </c>
      <c r="M17" s="107">
        <f t="shared" si="2"/>
        <v>96.555833911960292</v>
      </c>
      <c r="N17" s="107">
        <f t="shared" si="19"/>
        <v>2.6589605615985876</v>
      </c>
      <c r="O17" s="107">
        <f t="shared" si="12"/>
        <v>6.5973938153143612</v>
      </c>
      <c r="P17" s="107"/>
      <c r="Q17" s="107"/>
      <c r="R17" s="107"/>
      <c r="S17" s="107"/>
      <c r="T17" s="107"/>
      <c r="U17" s="107">
        <f t="shared" si="3"/>
        <v>177.06404149426834</v>
      </c>
      <c r="V17" s="107">
        <v>38.4</v>
      </c>
      <c r="W17" s="107">
        <f t="shared" si="16"/>
        <v>7.2828000000000008</v>
      </c>
      <c r="X17" s="107"/>
      <c r="Y17" s="107">
        <f>Y16*(1+$B$3)</f>
        <v>5.202</v>
      </c>
      <c r="Z17" s="179">
        <f t="shared" si="20"/>
        <v>15.042057898916747</v>
      </c>
      <c r="AA17" s="107">
        <v>4.08</v>
      </c>
      <c r="AB17" s="107">
        <v>8</v>
      </c>
      <c r="AC17" s="107">
        <v>7.6</v>
      </c>
      <c r="AD17" s="107">
        <f t="shared" si="5"/>
        <v>6.4390563637468183</v>
      </c>
      <c r="AE17" s="107">
        <f t="shared" si="5"/>
        <v>5.0140192996389139</v>
      </c>
      <c r="AF17" s="107"/>
      <c r="AG17" s="107">
        <f t="shared" si="17"/>
        <v>24</v>
      </c>
      <c r="AH17" s="107">
        <f t="shared" si="13"/>
        <v>8.1807683309898103</v>
      </c>
      <c r="AI17" s="109">
        <f t="shared" si="13"/>
        <v>25.468992</v>
      </c>
      <c r="AJ17" s="107"/>
      <c r="AK17" s="117"/>
      <c r="AL17" s="107"/>
      <c r="AM17" s="107">
        <f t="shared" si="6"/>
        <v>154.7096938932923</v>
      </c>
      <c r="AN17" s="110">
        <f t="shared" si="0"/>
        <v>22.354347600976041</v>
      </c>
      <c r="AO17" s="110">
        <f t="shared" si="7"/>
        <v>88.828361640940727</v>
      </c>
      <c r="AP17" s="107"/>
      <c r="AQ17" s="112">
        <f t="shared" si="8"/>
        <v>4.2751111923237071</v>
      </c>
      <c r="AR17" s="112">
        <f t="shared" si="14"/>
        <v>2.7503999999999995</v>
      </c>
      <c r="AS17" s="112">
        <f t="shared" si="9"/>
        <v>223.9624256776307</v>
      </c>
      <c r="AT17" s="112">
        <f t="shared" si="10"/>
        <v>206.16095282142132</v>
      </c>
      <c r="AU17" s="112">
        <f t="shared" si="18"/>
        <v>170.85650552056077</v>
      </c>
    </row>
    <row r="18" spans="1:47" x14ac:dyDescent="0.3">
      <c r="A18" s="40"/>
      <c r="B18" s="55"/>
      <c r="C18" s="40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40"/>
      <c r="J18" s="107">
        <f t="shared" si="15"/>
        <v>88.828361640940727</v>
      </c>
      <c r="K18" s="107">
        <v>0.04</v>
      </c>
      <c r="L18" s="107">
        <f t="shared" si="1"/>
        <v>72.676890269503019</v>
      </c>
      <c r="M18" s="107">
        <f t="shared" si="2"/>
        <v>97.521392251079902</v>
      </c>
      <c r="N18" s="107">
        <f t="shared" si="19"/>
        <v>3.5531344656376294</v>
      </c>
      <c r="O18" s="107">
        <f t="shared" si="12"/>
        <v>6.7293416916206485</v>
      </c>
      <c r="P18" s="107"/>
      <c r="Q18" s="107"/>
      <c r="R18" s="107"/>
      <c r="S18" s="107"/>
      <c r="T18" s="107"/>
      <c r="U18" s="107">
        <f t="shared" si="3"/>
        <v>180.48075867784121</v>
      </c>
      <c r="V18" s="107">
        <v>38.4</v>
      </c>
      <c r="W18" s="107">
        <f t="shared" si="16"/>
        <v>7.4284560000000006</v>
      </c>
      <c r="X18" s="107"/>
      <c r="Y18" s="107">
        <f>Y17*(1+$B$3)</f>
        <v>5.3060400000000003</v>
      </c>
      <c r="Z18" s="179">
        <f t="shared" si="20"/>
        <v>15.342899056895082</v>
      </c>
      <c r="AA18" s="107">
        <v>4.08</v>
      </c>
      <c r="AB18" s="107">
        <v>8.3000000000000007</v>
      </c>
      <c r="AC18" s="107">
        <v>7.6</v>
      </c>
      <c r="AD18" s="107">
        <f t="shared" si="5"/>
        <v>6.5678374910217547</v>
      </c>
      <c r="AE18" s="107">
        <f t="shared" si="5"/>
        <v>5.1142996856316927</v>
      </c>
      <c r="AF18" s="107"/>
      <c r="AG18" s="107">
        <f t="shared" si="17"/>
        <v>24</v>
      </c>
      <c r="AH18" s="107">
        <f t="shared" si="13"/>
        <v>8.3443836976096062</v>
      </c>
      <c r="AI18" s="109">
        <f t="shared" si="13"/>
        <v>25.978371840000001</v>
      </c>
      <c r="AJ18" s="107"/>
      <c r="AK18" s="117"/>
      <c r="AL18" s="107"/>
      <c r="AM18" s="107">
        <f t="shared" si="6"/>
        <v>156.46228777115812</v>
      </c>
      <c r="AN18" s="110">
        <f t="shared" si="0"/>
        <v>24.018470906683092</v>
      </c>
      <c r="AO18" s="110">
        <f t="shared" si="7"/>
        <v>112.84683254762382</v>
      </c>
      <c r="AP18" s="107"/>
      <c r="AQ18" s="112">
        <f t="shared" si="8"/>
        <v>4.3606134161701808</v>
      </c>
      <c r="AR18" s="112">
        <f t="shared" si="14"/>
        <v>2.7503999999999995</v>
      </c>
      <c r="AS18" s="112">
        <f t="shared" si="9"/>
        <v>237.28153612090611</v>
      </c>
      <c r="AT18" s="112">
        <f t="shared" si="10"/>
        <v>217.15779093427818</v>
      </c>
      <c r="AU18" s="112">
        <f t="shared" si="18"/>
        <v>177.69076574138322</v>
      </c>
    </row>
    <row r="19" spans="1:47" x14ac:dyDescent="0.3">
      <c r="A19" s="40"/>
      <c r="B19" s="55"/>
      <c r="C19" s="40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40"/>
      <c r="J19" s="107">
        <f t="shared" si="15"/>
        <v>112.84683254762382</v>
      </c>
      <c r="K19" s="107">
        <v>0.04</v>
      </c>
      <c r="L19" s="107">
        <f t="shared" si="1"/>
        <v>74.130428074893075</v>
      </c>
      <c r="M19" s="107">
        <f t="shared" si="2"/>
        <v>98.496606173590706</v>
      </c>
      <c r="N19" s="107">
        <f t="shared" si="19"/>
        <v>4.5138733019049528</v>
      </c>
      <c r="O19" s="107">
        <f t="shared" si="12"/>
        <v>6.863928525453062</v>
      </c>
      <c r="P19" s="107"/>
      <c r="Q19" s="107"/>
      <c r="R19" s="107"/>
      <c r="S19" s="107"/>
      <c r="T19" s="107"/>
      <c r="U19" s="107">
        <f t="shared" si="3"/>
        <v>184.00483607584181</v>
      </c>
      <c r="V19" s="107"/>
      <c r="W19" s="107">
        <f t="shared" si="16"/>
        <v>7.5770251200000009</v>
      </c>
      <c r="X19" s="107"/>
      <c r="Y19" s="107">
        <f>Y18*(1+$B$3)</f>
        <v>5.4121608000000005</v>
      </c>
      <c r="Z19" s="179">
        <f t="shared" si="20"/>
        <v>15.649757038032984</v>
      </c>
      <c r="AA19" s="107">
        <v>4.08</v>
      </c>
      <c r="AB19" s="107">
        <v>8.5</v>
      </c>
      <c r="AC19" s="107">
        <v>7.6</v>
      </c>
      <c r="AD19" s="107">
        <f t="shared" si="5"/>
        <v>6.6991942408421901</v>
      </c>
      <c r="AE19" s="107">
        <f t="shared" si="5"/>
        <v>5.2165856793443268</v>
      </c>
      <c r="AF19" s="107"/>
      <c r="AG19" s="107">
        <f t="shared" si="17"/>
        <v>24</v>
      </c>
      <c r="AH19" s="107">
        <f t="shared" si="13"/>
        <v>8.5112713715617989</v>
      </c>
      <c r="AI19" s="109">
        <f t="shared" si="13"/>
        <v>26.4979392768</v>
      </c>
      <c r="AJ19" s="107"/>
      <c r="AK19" s="117"/>
      <c r="AL19" s="107"/>
      <c r="AM19" s="107">
        <f t="shared" si="6"/>
        <v>119.7439335265813</v>
      </c>
      <c r="AN19" s="110">
        <f t="shared" si="0"/>
        <v>64.260902549260507</v>
      </c>
      <c r="AO19" s="110">
        <f t="shared" si="7"/>
        <v>177.10773509688431</v>
      </c>
      <c r="AP19" s="107"/>
      <c r="AQ19" s="112">
        <f t="shared" si="8"/>
        <v>4.4478256844935844</v>
      </c>
      <c r="AR19" s="112">
        <f t="shared" si="14"/>
        <v>2.7503999999999995</v>
      </c>
      <c r="AS19" s="112">
        <f t="shared" si="9"/>
        <v>251.22062325023595</v>
      </c>
      <c r="AT19" s="112">
        <f t="shared" si="10"/>
        <v>228.59450257164934</v>
      </c>
      <c r="AU19" s="112">
        <f t="shared" si="18"/>
        <v>184.79839637103856</v>
      </c>
    </row>
    <row r="20" spans="1:47" x14ac:dyDescent="0.3">
      <c r="A20" s="40"/>
      <c r="B20" s="55"/>
      <c r="C20" s="40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40"/>
      <c r="J20" s="107">
        <f t="shared" si="15"/>
        <v>177.10773509688431</v>
      </c>
      <c r="K20" s="107">
        <v>0.04</v>
      </c>
      <c r="L20" s="107">
        <f t="shared" si="1"/>
        <v>75.613036636390945</v>
      </c>
      <c r="M20" s="107">
        <f t="shared" si="2"/>
        <v>99.48157223532661</v>
      </c>
      <c r="N20" s="107">
        <f t="shared" si="19"/>
        <v>7.0843094038753724</v>
      </c>
      <c r="O20" s="107">
        <f t="shared" si="12"/>
        <v>7.0012070959621235</v>
      </c>
      <c r="P20" s="107"/>
      <c r="Q20" s="107"/>
      <c r="R20" s="107"/>
      <c r="S20" s="107"/>
      <c r="T20" s="107"/>
      <c r="U20" s="107">
        <f t="shared" si="3"/>
        <v>189.18012537155505</v>
      </c>
      <c r="V20" s="107"/>
      <c r="W20" s="107">
        <f t="shared" si="16"/>
        <v>7.7285656224000014</v>
      </c>
      <c r="X20" s="107"/>
      <c r="Y20" s="107">
        <f>Y19*(1+$B$3)</f>
        <v>5.5204040160000005</v>
      </c>
      <c r="Z20" s="179">
        <f t="shared" si="20"/>
        <v>15.962752178793645</v>
      </c>
      <c r="AA20" s="107">
        <v>4.08</v>
      </c>
      <c r="AB20" s="107">
        <v>8.8000000000000007</v>
      </c>
      <c r="AC20" s="107">
        <v>7.6</v>
      </c>
      <c r="AD20" s="107">
        <f t="shared" ref="AD20:AE27" si="21">AD19*(1+$B$3)</f>
        <v>6.8331781256590336</v>
      </c>
      <c r="AE20" s="107">
        <f t="shared" si="21"/>
        <v>5.3209173929312135</v>
      </c>
      <c r="AF20" s="107"/>
      <c r="AG20" s="107">
        <f t="shared" si="17"/>
        <v>24</v>
      </c>
      <c r="AH20" s="107">
        <f t="shared" si="13"/>
        <v>8.6814967989930345</v>
      </c>
      <c r="AI20" s="109">
        <f t="shared" si="13"/>
        <v>27.027898062336</v>
      </c>
      <c r="AJ20" s="107"/>
      <c r="AK20" s="117"/>
      <c r="AL20" s="107"/>
      <c r="AM20" s="107">
        <f t="shared" si="6"/>
        <v>121.55521219711292</v>
      </c>
      <c r="AN20" s="110">
        <f t="shared" si="0"/>
        <v>67.624913174442128</v>
      </c>
      <c r="AO20" s="110">
        <f t="shared" si="7"/>
        <v>244.73264827132644</v>
      </c>
      <c r="AP20" s="107"/>
      <c r="AQ20" s="112">
        <f t="shared" si="8"/>
        <v>4.5367821981834568</v>
      </c>
      <c r="AR20" s="112">
        <f t="shared" si="14"/>
        <v>2.7503999999999995</v>
      </c>
      <c r="AS20" s="112">
        <f t="shared" si="9"/>
        <v>265.80623037842884</v>
      </c>
      <c r="AT20" s="112">
        <f t="shared" si="10"/>
        <v>240.48868267451533</v>
      </c>
      <c r="AU20" s="112">
        <f t="shared" si="18"/>
        <v>192.19033222588013</v>
      </c>
    </row>
    <row r="21" spans="1:47" x14ac:dyDescent="0.3">
      <c r="A21" s="40"/>
      <c r="B21" s="55"/>
      <c r="C21" s="40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40"/>
      <c r="J21" s="107">
        <f t="shared" si="15"/>
        <v>244.73264827132644</v>
      </c>
      <c r="K21" s="107">
        <v>0.04</v>
      </c>
      <c r="L21" s="107">
        <f t="shared" si="1"/>
        <v>77.125297369118769</v>
      </c>
      <c r="M21" s="107">
        <f t="shared" si="2"/>
        <v>100.47638795767988</v>
      </c>
      <c r="N21" s="107">
        <f t="shared" si="19"/>
        <v>9.7893059308530574</v>
      </c>
      <c r="O21" s="107">
        <f t="shared" si="12"/>
        <v>7.1412312378813665</v>
      </c>
      <c r="P21" s="107"/>
      <c r="Q21" s="107"/>
      <c r="R21" s="107"/>
      <c r="S21" s="107"/>
      <c r="T21" s="107"/>
      <c r="U21" s="107">
        <f t="shared" si="3"/>
        <v>194.53222249553306</v>
      </c>
      <c r="V21" s="107"/>
      <c r="W21" s="107">
        <v>8</v>
      </c>
      <c r="X21" s="107"/>
      <c r="Y21" s="107">
        <v>6</v>
      </c>
      <c r="Z21" s="179">
        <f t="shared" si="20"/>
        <v>16.282007222369518</v>
      </c>
      <c r="AA21" s="107">
        <v>4.08</v>
      </c>
      <c r="AB21" s="107">
        <v>9.1</v>
      </c>
      <c r="AC21" s="107">
        <v>7.6</v>
      </c>
      <c r="AD21" s="107">
        <f t="shared" si="21"/>
        <v>6.9698416881722141</v>
      </c>
      <c r="AE21" s="107">
        <f t="shared" si="21"/>
        <v>5.4273357407898377</v>
      </c>
      <c r="AF21" s="107"/>
      <c r="AG21" s="107">
        <f t="shared" si="17"/>
        <v>24</v>
      </c>
      <c r="AH21" s="107">
        <f t="shared" ref="AH21:AJ36" si="22">AH20*(1+$B$3)</f>
        <v>8.8551267349728953</v>
      </c>
      <c r="AI21" s="109">
        <f t="shared" si="22"/>
        <v>27.568456023582719</v>
      </c>
      <c r="AJ21" s="107"/>
      <c r="AK21" s="117"/>
      <c r="AL21" s="107"/>
      <c r="AM21" s="107">
        <f t="shared" si="6"/>
        <v>123.88276740988721</v>
      </c>
      <c r="AN21" s="110">
        <f t="shared" si="0"/>
        <v>70.649455085645855</v>
      </c>
      <c r="AO21" s="110">
        <f t="shared" si="7"/>
        <v>315.38210335697227</v>
      </c>
      <c r="AP21" s="107"/>
      <c r="AQ21" s="112">
        <f t="shared" si="8"/>
        <v>4.6275178421471264</v>
      </c>
      <c r="AR21" s="112">
        <f t="shared" si="14"/>
        <v>2.7503999999999995</v>
      </c>
      <c r="AS21" s="112">
        <f t="shared" si="9"/>
        <v>281.06599743571314</v>
      </c>
      <c r="AT21" s="112">
        <f t="shared" si="10"/>
        <v>252.85862998149597</v>
      </c>
      <c r="AU21" s="112">
        <f t="shared" si="18"/>
        <v>199.87794551491533</v>
      </c>
    </row>
    <row r="22" spans="1:47" x14ac:dyDescent="0.3">
      <c r="A22" s="40"/>
      <c r="B22" s="55"/>
      <c r="C22" s="40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J22" s="107">
        <f t="shared" si="15"/>
        <v>315.38210335697227</v>
      </c>
      <c r="K22" s="107">
        <v>0.04</v>
      </c>
      <c r="L22" s="107">
        <f t="shared" si="1"/>
        <v>78.66780331650115</v>
      </c>
      <c r="M22" s="107">
        <f t="shared" si="2"/>
        <v>101.48115183725668</v>
      </c>
      <c r="N22" s="107">
        <f t="shared" si="19"/>
        <v>12.615284134278891</v>
      </c>
      <c r="O22" s="107">
        <f t="shared" si="12"/>
        <v>7.2840558626389935</v>
      </c>
      <c r="P22" s="107"/>
      <c r="Q22" s="107"/>
      <c r="R22" s="107"/>
      <c r="S22" s="107"/>
      <c r="T22" s="107"/>
      <c r="U22" s="107">
        <f t="shared" si="3"/>
        <v>200.0482951506757</v>
      </c>
      <c r="V22" s="107"/>
      <c r="W22" s="107">
        <f>W21*(1+$B$3)</f>
        <v>8.16</v>
      </c>
      <c r="X22" s="107"/>
      <c r="Y22" s="107">
        <f>Y21*(1+$B$3)</f>
        <v>6.12</v>
      </c>
      <c r="Z22" s="179">
        <f t="shared" si="20"/>
        <v>16.607647366816909</v>
      </c>
      <c r="AA22" s="107">
        <v>4.08</v>
      </c>
      <c r="AB22" s="107">
        <v>9.4</v>
      </c>
      <c r="AC22" s="107">
        <v>7.6</v>
      </c>
      <c r="AD22" s="107">
        <f t="shared" si="21"/>
        <v>7.1092385219356586</v>
      </c>
      <c r="AE22" s="107">
        <f t="shared" si="21"/>
        <v>5.535882455605635</v>
      </c>
      <c r="AF22" s="107"/>
      <c r="AG22" s="107">
        <f t="shared" si="17"/>
        <v>24</v>
      </c>
      <c r="AH22" s="107">
        <f t="shared" si="22"/>
        <v>9.032229269672353</v>
      </c>
      <c r="AI22" s="109">
        <f t="shared" si="22"/>
        <v>28.119825144054374</v>
      </c>
      <c r="AJ22" s="107"/>
      <c r="AK22" s="117"/>
      <c r="AL22" s="107"/>
      <c r="AM22" s="107">
        <f t="shared" si="6"/>
        <v>125.76482275808493</v>
      </c>
      <c r="AN22" s="110">
        <f t="shared" si="0"/>
        <v>74.283472392590767</v>
      </c>
      <c r="AO22" s="110">
        <f t="shared" si="7"/>
        <v>389.665575749563</v>
      </c>
      <c r="AP22" s="107"/>
      <c r="AQ22" s="112">
        <f t="shared" si="8"/>
        <v>4.7200681989900692</v>
      </c>
      <c r="AR22" s="112">
        <f t="shared" si="14"/>
        <v>2.7503999999999995</v>
      </c>
      <c r="AS22" s="112">
        <f t="shared" si="9"/>
        <v>297.02870553213177</v>
      </c>
      <c r="AT22" s="112">
        <f t="shared" si="10"/>
        <v>265.72337518075585</v>
      </c>
      <c r="AU22" s="112">
        <f t="shared" si="18"/>
        <v>207.87306333551194</v>
      </c>
    </row>
    <row r="23" spans="1:47" x14ac:dyDescent="0.3">
      <c r="A23" s="40"/>
      <c r="B23" s="55"/>
      <c r="C23" s="40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40" t="s">
        <v>137</v>
      </c>
      <c r="J23" s="107">
        <f t="shared" si="15"/>
        <v>389.665575749563</v>
      </c>
      <c r="K23" s="107">
        <v>0.04</v>
      </c>
      <c r="L23" s="107">
        <f t="shared" si="1"/>
        <v>80.241159382831171</v>
      </c>
      <c r="M23" s="107">
        <f t="shared" si="2"/>
        <v>102.49596335562924</v>
      </c>
      <c r="N23" s="107">
        <f t="shared" si="19"/>
        <v>15.586623029982521</v>
      </c>
      <c r="O23" s="107">
        <f t="shared" si="12"/>
        <v>7.4297369798917732</v>
      </c>
      <c r="P23" s="107"/>
      <c r="Q23" s="107"/>
      <c r="R23" s="107"/>
      <c r="S23" s="107"/>
      <c r="T23" s="107"/>
      <c r="U23" s="107">
        <f t="shared" si="3"/>
        <v>205.7534827483347</v>
      </c>
      <c r="V23" s="107"/>
      <c r="W23" s="107">
        <f t="shared" si="16"/>
        <v>8.3231999999999999</v>
      </c>
      <c r="X23" s="107"/>
      <c r="Y23" s="107">
        <f>Y22*(1+$B$3)</f>
        <v>6.2423999999999999</v>
      </c>
      <c r="Z23" s="179">
        <f t="shared" si="20"/>
        <v>16.939800314153249</v>
      </c>
      <c r="AA23" s="107">
        <v>4.08</v>
      </c>
      <c r="AB23" s="107">
        <v>9.6999999999999993</v>
      </c>
      <c r="AC23" s="107">
        <v>7.6</v>
      </c>
      <c r="AD23" s="107">
        <f t="shared" si="21"/>
        <v>7.2514232923743718</v>
      </c>
      <c r="AE23" s="107">
        <f t="shared" si="21"/>
        <v>5.6466001047177476</v>
      </c>
      <c r="AF23" s="107"/>
      <c r="AG23" s="107">
        <f t="shared" si="17"/>
        <v>24</v>
      </c>
      <c r="AH23" s="107">
        <f t="shared" si="22"/>
        <v>9.2128738550657996</v>
      </c>
      <c r="AI23" s="109">
        <f t="shared" si="22"/>
        <v>28.682221646935464</v>
      </c>
      <c r="AJ23" s="107"/>
      <c r="AK23" s="117">
        <f>理財目標費用終值!D14</f>
        <v>104.0163177184848</v>
      </c>
      <c r="AL23" s="107"/>
      <c r="AM23" s="107">
        <f t="shared" si="6"/>
        <v>231.6948369317314</v>
      </c>
      <c r="AN23" s="110">
        <f t="shared" si="0"/>
        <v>-25.941354183396697</v>
      </c>
      <c r="AO23" s="110">
        <f t="shared" si="7"/>
        <v>363.72422156616631</v>
      </c>
      <c r="AP23" s="107"/>
      <c r="AQ23" s="112">
        <f t="shared" si="8"/>
        <v>4.8144695629698697</v>
      </c>
      <c r="AR23" s="112">
        <f t="shared" si="14"/>
        <v>2.7503999999999995</v>
      </c>
      <c r="AS23" s="112">
        <f t="shared" si="9"/>
        <v>313.72432331638691</v>
      </c>
      <c r="AT23" s="112">
        <f t="shared" si="10"/>
        <v>279.10271018798613</v>
      </c>
      <c r="AU23" s="112">
        <f t="shared" si="18"/>
        <v>216.18798586893243</v>
      </c>
    </row>
    <row r="24" spans="1:47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J24" s="107">
        <f t="shared" si="15"/>
        <v>363.72422156616631</v>
      </c>
      <c r="K24" s="107">
        <v>0.04</v>
      </c>
      <c r="L24" s="107">
        <f t="shared" si="1"/>
        <v>81.845982570487791</v>
      </c>
      <c r="M24" s="107">
        <f t="shared" si="2"/>
        <v>103.52092298918554</v>
      </c>
      <c r="N24" s="107">
        <f t="shared" si="19"/>
        <v>14.548968862646653</v>
      </c>
      <c r="O24" s="107">
        <f t="shared" si="12"/>
        <v>7.5783317194896087</v>
      </c>
      <c r="P24" s="107"/>
      <c r="Q24" s="107"/>
      <c r="R24" s="107"/>
      <c r="S24" s="112"/>
      <c r="T24" s="112"/>
      <c r="U24" s="107">
        <f t="shared" si="3"/>
        <v>207.4942061418096</v>
      </c>
      <c r="V24" s="112"/>
      <c r="W24" s="107">
        <f t="shared" si="16"/>
        <v>8.4896639999999994</v>
      </c>
      <c r="X24" s="112"/>
      <c r="Y24" s="107">
        <f>Y23*(1+$B$3)</f>
        <v>6.367248</v>
      </c>
      <c r="Z24" s="179">
        <f t="shared" si="20"/>
        <v>17.278596320436314</v>
      </c>
      <c r="AA24" s="107">
        <v>4.08</v>
      </c>
      <c r="AB24" s="107">
        <v>10</v>
      </c>
      <c r="AC24" s="107">
        <v>6.4</v>
      </c>
      <c r="AD24" s="107">
        <f t="shared" si="21"/>
        <v>7.3964517582218594</v>
      </c>
      <c r="AE24" s="107">
        <f t="shared" si="21"/>
        <v>5.7595321068121024</v>
      </c>
      <c r="AF24" s="112"/>
      <c r="AG24" s="107"/>
      <c r="AH24" s="112"/>
      <c r="AI24" s="109">
        <f t="shared" si="22"/>
        <v>29.255866079874174</v>
      </c>
      <c r="AJ24" s="112"/>
      <c r="AK24" s="112"/>
      <c r="AL24" s="112"/>
      <c r="AM24" s="107">
        <f t="shared" si="6"/>
        <v>95.027358265344446</v>
      </c>
      <c r="AN24" s="110">
        <f t="shared" si="0"/>
        <v>112.46684787646515</v>
      </c>
      <c r="AO24" s="110">
        <f t="shared" si="7"/>
        <v>476.19106944263149</v>
      </c>
      <c r="AP24" s="112"/>
      <c r="AQ24" s="112">
        <f t="shared" si="8"/>
        <v>4.9107589542292676</v>
      </c>
      <c r="AR24" s="112">
        <f t="shared" si="14"/>
        <v>2.7503999999999995</v>
      </c>
      <c r="AS24" s="112">
        <f t="shared" si="9"/>
        <v>331.18405520327167</v>
      </c>
      <c r="AT24" s="112">
        <f t="shared" si="10"/>
        <v>293.0172185955056</v>
      </c>
      <c r="AU24" s="112">
        <f t="shared" si="18"/>
        <v>224.83550530368973</v>
      </c>
    </row>
    <row r="25" spans="1:47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J25" s="107">
        <f t="shared" si="15"/>
        <v>476.19106944263149</v>
      </c>
      <c r="K25" s="107">
        <v>0.04</v>
      </c>
      <c r="L25" s="107">
        <f t="shared" si="1"/>
        <v>83.482902221897547</v>
      </c>
      <c r="M25" s="107">
        <f t="shared" si="2"/>
        <v>104.5561322190774</v>
      </c>
      <c r="N25" s="107">
        <f t="shared" si="19"/>
        <v>19.04764277770526</v>
      </c>
      <c r="O25" s="107">
        <f t="shared" si="12"/>
        <v>7.7298983538794008</v>
      </c>
      <c r="P25" s="107"/>
      <c r="Q25" s="107"/>
      <c r="R25" s="107"/>
      <c r="S25" s="112"/>
      <c r="T25" s="112"/>
      <c r="U25" s="107">
        <f t="shared" si="3"/>
        <v>214.8165755725596</v>
      </c>
      <c r="V25" s="112"/>
      <c r="W25" s="107">
        <f t="shared" si="16"/>
        <v>8.6594572799999998</v>
      </c>
      <c r="X25" s="112"/>
      <c r="Y25" s="107">
        <f>Y24*(1+$B$3)</f>
        <v>6.4945929600000003</v>
      </c>
      <c r="Z25" s="179">
        <f t="shared" si="20"/>
        <v>17.624168246845041</v>
      </c>
      <c r="AA25" s="107">
        <v>4.08</v>
      </c>
      <c r="AB25" s="107">
        <v>10.3</v>
      </c>
      <c r="AC25" s="107">
        <v>6.4</v>
      </c>
      <c r="AD25" s="107">
        <f t="shared" si="21"/>
        <v>7.5443807933862965</v>
      </c>
      <c r="AE25" s="107">
        <f t="shared" si="21"/>
        <v>5.8747227489483445</v>
      </c>
      <c r="AF25" s="112"/>
      <c r="AG25" s="112"/>
      <c r="AH25" s="112"/>
      <c r="AI25" s="109">
        <f t="shared" si="22"/>
        <v>29.840983401471657</v>
      </c>
      <c r="AJ25" s="112"/>
      <c r="AK25" s="112"/>
      <c r="AL25" s="112"/>
      <c r="AM25" s="107">
        <f t="shared" si="6"/>
        <v>96.81830543065135</v>
      </c>
      <c r="AN25" s="110">
        <f t="shared" si="0"/>
        <v>117.99827014190825</v>
      </c>
      <c r="AO25" s="110">
        <f t="shared" si="7"/>
        <v>594.18933958453977</v>
      </c>
      <c r="AP25" s="112"/>
      <c r="AQ25" s="112">
        <f t="shared" si="8"/>
        <v>5.0089741333138527</v>
      </c>
      <c r="AR25" s="112">
        <f t="shared" si="14"/>
        <v>2.7503999999999995</v>
      </c>
      <c r="AS25" s="112">
        <f t="shared" si="9"/>
        <v>349.44039154471642</v>
      </c>
      <c r="AT25" s="112">
        <f t="shared" si="10"/>
        <v>307.48830733932584</v>
      </c>
      <c r="AU25" s="112">
        <f t="shared" si="18"/>
        <v>233.82892551583731</v>
      </c>
    </row>
    <row r="26" spans="1:47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J26" s="107">
        <f t="shared" si="15"/>
        <v>594.18933958453977</v>
      </c>
      <c r="K26" s="107">
        <v>0.04</v>
      </c>
      <c r="L26" s="107">
        <f t="shared" si="1"/>
        <v>85.152560266335499</v>
      </c>
      <c r="M26" s="107">
        <f t="shared" si="2"/>
        <v>105.60169354126818</v>
      </c>
      <c r="N26" s="107">
        <f t="shared" si="19"/>
        <v>23.767573583381591</v>
      </c>
      <c r="O26" s="107">
        <f t="shared" si="12"/>
        <v>7.8844963209569894</v>
      </c>
      <c r="P26" s="107"/>
      <c r="Q26" s="107"/>
      <c r="R26" s="107"/>
      <c r="S26" s="112"/>
      <c r="T26" s="112"/>
      <c r="U26" s="107">
        <f t="shared" si="3"/>
        <v>222.40632371194226</v>
      </c>
      <c r="V26" s="112"/>
      <c r="W26" s="107">
        <f t="shared" si="16"/>
        <v>8.8326464256000001</v>
      </c>
      <c r="X26" s="112"/>
      <c r="Y26" s="107">
        <f>Y25*(1+$B$3)</f>
        <v>6.6244848192000001</v>
      </c>
      <c r="Z26" s="179">
        <f t="shared" si="20"/>
        <v>17.976651611781943</v>
      </c>
      <c r="AA26" s="107">
        <v>4.08</v>
      </c>
      <c r="AB26" s="107">
        <v>10.6</v>
      </c>
      <c r="AC26" s="107">
        <v>6.4</v>
      </c>
      <c r="AD26" s="107">
        <f t="shared" si="21"/>
        <v>7.6952684092540222</v>
      </c>
      <c r="AE26" s="107">
        <f t="shared" si="21"/>
        <v>5.9922172039273116</v>
      </c>
      <c r="AF26" s="112"/>
      <c r="AG26" s="112"/>
      <c r="AH26" s="112"/>
      <c r="AI26" s="109">
        <f t="shared" si="22"/>
        <v>30.43780306950109</v>
      </c>
      <c r="AJ26" s="112"/>
      <c r="AK26" s="112"/>
      <c r="AL26" s="112"/>
      <c r="AM26" s="107">
        <f t="shared" si="6"/>
        <v>98.639071539264364</v>
      </c>
      <c r="AN26" s="110">
        <f t="shared" si="0"/>
        <v>123.7672521726779</v>
      </c>
      <c r="AO26" s="110">
        <f t="shared" si="7"/>
        <v>717.95659175721767</v>
      </c>
      <c r="AP26" s="112"/>
      <c r="AQ26" s="112">
        <f t="shared" si="8"/>
        <v>5.1091536159801301</v>
      </c>
      <c r="AR26" s="112">
        <f t="shared" si="14"/>
        <v>2.7503999999999995</v>
      </c>
      <c r="AS26" s="112">
        <f t="shared" si="9"/>
        <v>368.5271608224852</v>
      </c>
      <c r="AT26" s="112">
        <f t="shared" si="10"/>
        <v>322.53823963289892</v>
      </c>
      <c r="AU26" s="112">
        <f t="shared" si="18"/>
        <v>243.1820825364708</v>
      </c>
    </row>
    <row r="27" spans="1:47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J27" s="107">
        <f t="shared" si="15"/>
        <v>717.95659175721767</v>
      </c>
      <c r="K27" s="107">
        <v>0.04</v>
      </c>
      <c r="L27" s="107">
        <f t="shared" si="1"/>
        <v>86.855611471662215</v>
      </c>
      <c r="M27" s="107">
        <f t="shared" si="2"/>
        <v>106.65771047668086</v>
      </c>
      <c r="N27" s="107">
        <f t="shared" si="19"/>
        <v>28.718263670288707</v>
      </c>
      <c r="O27" s="107">
        <f t="shared" si="12"/>
        <v>8.0421862473761294</v>
      </c>
      <c r="P27" s="107"/>
      <c r="Q27" s="107"/>
      <c r="R27" s="107"/>
      <c r="S27" s="112"/>
      <c r="T27" s="112"/>
      <c r="U27" s="107">
        <f t="shared" si="3"/>
        <v>230.27377186600791</v>
      </c>
      <c r="V27" s="112"/>
      <c r="W27" s="107">
        <v>9</v>
      </c>
      <c r="X27" s="112"/>
      <c r="Y27" s="107">
        <v>7</v>
      </c>
      <c r="Z27" s="179">
        <f t="shared" si="20"/>
        <v>18.336184644017582</v>
      </c>
      <c r="AA27" s="107">
        <v>4.08</v>
      </c>
      <c r="AB27" s="107">
        <v>10.9</v>
      </c>
      <c r="AC27" s="107">
        <v>6.4</v>
      </c>
      <c r="AD27" s="107">
        <f t="shared" si="21"/>
        <v>7.8491737774391028</v>
      </c>
      <c r="AE27" s="107">
        <f t="shared" si="21"/>
        <v>6.1120615480058582</v>
      </c>
      <c r="AF27" s="112"/>
      <c r="AG27" s="112"/>
      <c r="AH27" s="112"/>
      <c r="AI27" s="109">
        <f t="shared" si="22"/>
        <v>31.046559130891112</v>
      </c>
      <c r="AJ27" s="112"/>
      <c r="AK27" s="112"/>
      <c r="AL27" s="112"/>
      <c r="AM27" s="107">
        <f t="shared" si="6"/>
        <v>100.72397910035365</v>
      </c>
      <c r="AN27" s="110">
        <f t="shared" si="0"/>
        <v>129.54979276565427</v>
      </c>
      <c r="AO27" s="110">
        <f t="shared" si="7"/>
        <v>847.50638452287194</v>
      </c>
      <c r="AP27" s="112"/>
      <c r="AQ27" s="112">
        <f t="shared" si="8"/>
        <v>5.211336688299733</v>
      </c>
      <c r="AR27" s="112">
        <f t="shared" si="14"/>
        <v>2.7503999999999995</v>
      </c>
      <c r="AS27" s="112">
        <f t="shared" si="9"/>
        <v>388.47958394368436</v>
      </c>
      <c r="AT27" s="112">
        <f t="shared" si="10"/>
        <v>338.19016921821492</v>
      </c>
      <c r="AU27" s="112">
        <f t="shared" si="18"/>
        <v>252.90936583792964</v>
      </c>
    </row>
    <row r="28" spans="1:47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t="s">
        <v>135</v>
      </c>
      <c r="J28" s="107">
        <f t="shared" si="15"/>
        <v>847.50638452287194</v>
      </c>
      <c r="K28" s="107">
        <v>0.02</v>
      </c>
      <c r="L28" s="112"/>
      <c r="M28" s="112"/>
      <c r="N28" s="107">
        <f t="shared" si="19"/>
        <v>16.950127690457439</v>
      </c>
      <c r="O28" s="107">
        <f t="shared" si="12"/>
        <v>8.2030299723236517</v>
      </c>
      <c r="P28" s="112">
        <v>34.927080000000004</v>
      </c>
      <c r="Q28" s="107">
        <v>29.131319999999995</v>
      </c>
      <c r="R28" s="107">
        <f>PMT(0.01/12,20*12,-AS27,,1)*12</f>
        <v>21.421294804000734</v>
      </c>
      <c r="S28" s="107">
        <f>PMT(0.01/12,20*12,-AT27,,1)*12</f>
        <v>18.648267795942825</v>
      </c>
      <c r="T28" s="107">
        <f>AU27</f>
        <v>252.90936583792964</v>
      </c>
      <c r="U28" s="107">
        <f t="shared" si="3"/>
        <v>382.19048610065431</v>
      </c>
      <c r="V28" s="112"/>
      <c r="W28" s="107"/>
      <c r="X28" s="112"/>
      <c r="Y28" s="107"/>
      <c r="Z28" s="107"/>
      <c r="AA28" s="107"/>
      <c r="AB28" s="112"/>
      <c r="AC28" s="107">
        <v>4.2</v>
      </c>
      <c r="AD28" s="112"/>
      <c r="AE28" s="112"/>
      <c r="AF28" s="112"/>
      <c r="AG28" s="112"/>
      <c r="AH28" s="112"/>
      <c r="AI28" s="109">
        <f t="shared" si="22"/>
        <v>31.667490313508935</v>
      </c>
      <c r="AJ28" s="107">
        <v>118.12363160146052</v>
      </c>
      <c r="AK28" s="112"/>
      <c r="AL28" s="107"/>
      <c r="AM28" s="107">
        <f t="shared" si="6"/>
        <v>153.99112191496945</v>
      </c>
      <c r="AN28" s="110">
        <f t="shared" si="0"/>
        <v>228.19936418568486</v>
      </c>
      <c r="AO28" s="110">
        <f t="shared" si="7"/>
        <v>1075.7057487085567</v>
      </c>
      <c r="AP28" s="112"/>
      <c r="AQ28" s="112"/>
      <c r="AR28" s="112"/>
      <c r="AS28" s="112"/>
      <c r="AT28" s="112"/>
      <c r="AU28" s="112"/>
    </row>
    <row r="29" spans="1:47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J29" s="107">
        <f t="shared" si="15"/>
        <v>1075.7057487085567</v>
      </c>
      <c r="K29" s="107">
        <v>0.02</v>
      </c>
      <c r="L29" s="112"/>
      <c r="M29" s="112"/>
      <c r="N29" s="107">
        <f t="shared" si="19"/>
        <v>21.514114974171136</v>
      </c>
      <c r="O29" s="107">
        <f t="shared" si="12"/>
        <v>8.3670905717701256</v>
      </c>
      <c r="P29" s="112">
        <f>P28*(1+$B$3)</f>
        <v>35.625621600000002</v>
      </c>
      <c r="Q29" s="112">
        <f>Q28*(1+$B$3)</f>
        <v>29.713946399999994</v>
      </c>
      <c r="R29" s="107">
        <f>R28</f>
        <v>21.421294804000734</v>
      </c>
      <c r="S29" s="112">
        <f>S28</f>
        <v>18.648267795942825</v>
      </c>
      <c r="T29" s="112"/>
      <c r="U29" s="107">
        <f t="shared" si="3"/>
        <v>135.29033614588482</v>
      </c>
      <c r="V29" s="112"/>
      <c r="W29" s="107"/>
      <c r="X29" s="112"/>
      <c r="Y29" s="107"/>
      <c r="Z29" s="112"/>
      <c r="AA29" s="112"/>
      <c r="AB29" s="112"/>
      <c r="AC29" s="107">
        <v>4.2</v>
      </c>
      <c r="AD29" s="112"/>
      <c r="AE29" s="112"/>
      <c r="AF29" s="112"/>
      <c r="AG29" s="112"/>
      <c r="AH29" s="112"/>
      <c r="AI29" s="109">
        <f t="shared" si="22"/>
        <v>32.300840119779117</v>
      </c>
      <c r="AJ29" s="107">
        <f>AJ28*(1+$B$3)</f>
        <v>120.48610423348973</v>
      </c>
      <c r="AK29" s="112"/>
      <c r="AL29" s="112"/>
      <c r="AM29" s="107">
        <f t="shared" si="6"/>
        <v>156.98694435326885</v>
      </c>
      <c r="AN29" s="110">
        <f t="shared" si="0"/>
        <v>-21.696608207384031</v>
      </c>
      <c r="AO29" s="110">
        <f t="shared" si="7"/>
        <v>1054.0091405011726</v>
      </c>
      <c r="AP29" s="112"/>
      <c r="AQ29" s="112"/>
      <c r="AR29" s="112"/>
      <c r="AS29" s="112"/>
      <c r="AT29" s="112"/>
      <c r="AU29" s="112"/>
    </row>
    <row r="30" spans="1:47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J30" s="107">
        <f t="shared" si="15"/>
        <v>1054.0091405011726</v>
      </c>
      <c r="K30" s="107">
        <v>0.02</v>
      </c>
      <c r="L30" s="112"/>
      <c r="M30" s="112"/>
      <c r="N30" s="107">
        <f t="shared" si="19"/>
        <v>21.080182810023452</v>
      </c>
      <c r="O30" s="107">
        <f t="shared" si="12"/>
        <v>8.5344323832055284</v>
      </c>
      <c r="P30" s="112">
        <f t="shared" si="12"/>
        <v>36.338134032000006</v>
      </c>
      <c r="Q30" s="112">
        <f t="shared" si="12"/>
        <v>30.308225327999995</v>
      </c>
      <c r="R30" s="107">
        <f t="shared" ref="R30:S45" si="23">R29</f>
        <v>21.421294804000734</v>
      </c>
      <c r="S30" s="112">
        <f t="shared" si="23"/>
        <v>18.648267795942825</v>
      </c>
      <c r="T30" s="112"/>
      <c r="U30" s="107">
        <f t="shared" si="3"/>
        <v>136.33053715317254</v>
      </c>
      <c r="V30" s="112"/>
      <c r="W30" s="107"/>
      <c r="X30" s="112"/>
      <c r="Y30" s="107"/>
      <c r="Z30" s="112"/>
      <c r="AA30" s="112"/>
      <c r="AB30" s="112"/>
      <c r="AC30" s="107">
        <v>4.2</v>
      </c>
      <c r="AD30" s="112"/>
      <c r="AE30" s="112"/>
      <c r="AF30" s="112"/>
      <c r="AG30" s="112"/>
      <c r="AH30" s="112"/>
      <c r="AI30" s="109">
        <f t="shared" si="22"/>
        <v>32.946856922174703</v>
      </c>
      <c r="AJ30" s="107">
        <f>AJ29*(1+$B$3)</f>
        <v>122.89582631815952</v>
      </c>
      <c r="AK30" s="112"/>
      <c r="AL30" s="112"/>
      <c r="AM30" s="107">
        <f t="shared" si="6"/>
        <v>160.04268324033421</v>
      </c>
      <c r="AN30" s="110">
        <f t="shared" si="0"/>
        <v>-23.71214608716167</v>
      </c>
      <c r="AO30" s="110">
        <f t="shared" si="7"/>
        <v>1030.2969944140109</v>
      </c>
      <c r="AP30" s="112"/>
      <c r="AQ30" s="112"/>
      <c r="AR30" s="112"/>
      <c r="AS30" s="112"/>
      <c r="AT30" s="112"/>
      <c r="AU30" s="112"/>
    </row>
    <row r="31" spans="1:47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J31" s="107">
        <f t="shared" si="15"/>
        <v>1030.2969944140109</v>
      </c>
      <c r="K31" s="107">
        <v>0.02</v>
      </c>
      <c r="L31" s="112"/>
      <c r="M31" s="112"/>
      <c r="N31" s="107">
        <f t="shared" si="19"/>
        <v>20.605939888280218</v>
      </c>
      <c r="O31" s="107">
        <f t="shared" ref="O31:Q46" si="24">O30*(1+$B$3)</f>
        <v>8.7051210308696394</v>
      </c>
      <c r="P31" s="112">
        <f t="shared" si="24"/>
        <v>37.064896712640007</v>
      </c>
      <c r="Q31" s="112">
        <f t="shared" si="24"/>
        <v>30.914389834559994</v>
      </c>
      <c r="R31" s="107">
        <f t="shared" si="23"/>
        <v>21.421294804000734</v>
      </c>
      <c r="S31" s="112">
        <f t="shared" si="23"/>
        <v>18.648267795942825</v>
      </c>
      <c r="T31" s="112"/>
      <c r="U31" s="107">
        <f t="shared" si="3"/>
        <v>137.35991006629342</v>
      </c>
      <c r="V31" s="112"/>
      <c r="W31" s="107"/>
      <c r="X31" s="112"/>
      <c r="Y31" s="107"/>
      <c r="Z31" s="112"/>
      <c r="AA31" s="112"/>
      <c r="AB31" s="112"/>
      <c r="AC31" s="107">
        <v>4.2</v>
      </c>
      <c r="AD31" s="112"/>
      <c r="AE31" s="112"/>
      <c r="AF31" s="112"/>
      <c r="AG31" s="112"/>
      <c r="AH31" s="112"/>
      <c r="AI31" s="109">
        <f t="shared" si="22"/>
        <v>33.605794060618194</v>
      </c>
      <c r="AJ31" s="107">
        <f t="shared" si="22"/>
        <v>125.35374284452271</v>
      </c>
      <c r="AK31" s="112"/>
      <c r="AL31" s="112"/>
      <c r="AM31" s="107">
        <f t="shared" si="6"/>
        <v>163.1595369051409</v>
      </c>
      <c r="AN31" s="110">
        <f t="shared" si="0"/>
        <v>-25.799626838847473</v>
      </c>
      <c r="AO31" s="110">
        <f t="shared" si="7"/>
        <v>1004.4973675751635</v>
      </c>
      <c r="AP31" s="112"/>
      <c r="AQ31" s="112"/>
      <c r="AR31" s="112"/>
      <c r="AS31" s="112"/>
      <c r="AT31" s="112"/>
      <c r="AU31" s="112"/>
    </row>
    <row r="32" spans="1:47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J32" s="107">
        <f t="shared" si="15"/>
        <v>1004.4973675751635</v>
      </c>
      <c r="K32" s="107">
        <v>0.02</v>
      </c>
      <c r="L32" s="112"/>
      <c r="M32" s="112"/>
      <c r="N32" s="107">
        <f t="shared" si="19"/>
        <v>20.08994735150327</v>
      </c>
      <c r="O32" s="107">
        <f t="shared" si="24"/>
        <v>8.8792234514870323</v>
      </c>
      <c r="P32" s="112">
        <f t="shared" si="24"/>
        <v>37.806194646892806</v>
      </c>
      <c r="Q32" s="112">
        <f t="shared" si="24"/>
        <v>31.532677631251193</v>
      </c>
      <c r="R32" s="107">
        <f t="shared" si="23"/>
        <v>21.421294804000734</v>
      </c>
      <c r="S32" s="112">
        <f t="shared" si="23"/>
        <v>18.648267795942825</v>
      </c>
      <c r="T32" s="112"/>
      <c r="U32" s="107">
        <f t="shared" si="3"/>
        <v>138.37760568107785</v>
      </c>
      <c r="V32" s="112"/>
      <c r="W32" s="107"/>
      <c r="X32" s="112"/>
      <c r="Y32" s="107"/>
      <c r="Z32" s="112"/>
      <c r="AA32" s="112"/>
      <c r="AB32" s="112"/>
      <c r="AC32" s="107">
        <v>4.2</v>
      </c>
      <c r="AD32" s="112"/>
      <c r="AE32" s="112"/>
      <c r="AF32" s="112"/>
      <c r="AG32" s="112"/>
      <c r="AH32" s="112"/>
      <c r="AI32" s="109">
        <f t="shared" si="22"/>
        <v>34.277909941830558</v>
      </c>
      <c r="AJ32" s="107">
        <f t="shared" si="22"/>
        <v>127.86081770141317</v>
      </c>
      <c r="AK32" s="112"/>
      <c r="AL32" s="112"/>
      <c r="AM32" s="107">
        <f t="shared" si="6"/>
        <v>166.33872764324371</v>
      </c>
      <c r="AN32" s="110">
        <f t="shared" si="0"/>
        <v>-27.961121962165862</v>
      </c>
      <c r="AO32" s="110">
        <f t="shared" si="7"/>
        <v>976.53624561299762</v>
      </c>
      <c r="AP32" s="112"/>
      <c r="AQ32" s="112"/>
      <c r="AR32" s="112"/>
      <c r="AS32" s="112"/>
      <c r="AT32" s="112"/>
      <c r="AU32" s="112"/>
    </row>
    <row r="33" spans="4:47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J33" s="107">
        <f t="shared" si="15"/>
        <v>976.53624561299762</v>
      </c>
      <c r="K33" s="107">
        <v>0.02</v>
      </c>
      <c r="L33" s="112"/>
      <c r="M33" s="112"/>
      <c r="N33" s="107">
        <f t="shared" si="19"/>
        <v>19.530724912259952</v>
      </c>
      <c r="O33" s="107">
        <f t="shared" si="24"/>
        <v>9.0568079205167731</v>
      </c>
      <c r="P33" s="112">
        <f t="shared" si="24"/>
        <v>38.562318539830663</v>
      </c>
      <c r="Q33" s="112">
        <f t="shared" si="24"/>
        <v>32.163331183876217</v>
      </c>
      <c r="R33" s="107">
        <f t="shared" si="23"/>
        <v>21.421294804000734</v>
      </c>
      <c r="S33" s="112">
        <f t="shared" si="23"/>
        <v>18.648267795942825</v>
      </c>
      <c r="T33" s="112"/>
      <c r="U33" s="107">
        <f t="shared" si="3"/>
        <v>139.38274515642718</v>
      </c>
      <c r="V33" s="112"/>
      <c r="W33" s="107"/>
      <c r="X33" s="112"/>
      <c r="Y33" s="107"/>
      <c r="Z33" s="112"/>
      <c r="AA33" s="112"/>
      <c r="AB33" s="112"/>
      <c r="AC33" s="107">
        <v>4.2</v>
      </c>
      <c r="AD33" s="112"/>
      <c r="AE33" s="112"/>
      <c r="AF33" s="112"/>
      <c r="AG33" s="112"/>
      <c r="AH33" s="112"/>
      <c r="AI33" s="109">
        <f t="shared" si="22"/>
        <v>34.963468140667167</v>
      </c>
      <c r="AJ33" s="107">
        <f t="shared" si="22"/>
        <v>130.41803405544144</v>
      </c>
      <c r="AK33" s="112"/>
      <c r="AL33" s="112"/>
      <c r="AM33" s="107">
        <f t="shared" si="6"/>
        <v>169.5815021961086</v>
      </c>
      <c r="AN33" s="110">
        <f t="shared" si="0"/>
        <v>-30.198757039681425</v>
      </c>
      <c r="AO33" s="110">
        <f t="shared" si="7"/>
        <v>946.33748857331625</v>
      </c>
      <c r="AP33" s="112"/>
      <c r="AQ33" s="112"/>
      <c r="AR33" s="112"/>
      <c r="AS33" s="112"/>
      <c r="AT33" s="112"/>
      <c r="AU33" s="112"/>
    </row>
    <row r="34" spans="4:47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J34" s="107">
        <f t="shared" si="15"/>
        <v>946.33748857331625</v>
      </c>
      <c r="K34" s="107">
        <v>0.02</v>
      </c>
      <c r="L34" s="112"/>
      <c r="M34" s="112"/>
      <c r="N34" s="107">
        <f t="shared" si="19"/>
        <v>18.926749771466326</v>
      </c>
      <c r="O34" s="107">
        <f t="shared" si="24"/>
        <v>9.237944078927109</v>
      </c>
      <c r="P34" s="112">
        <f t="shared" si="24"/>
        <v>39.333564910627274</v>
      </c>
      <c r="Q34" s="112">
        <f t="shared" si="24"/>
        <v>32.806597807553743</v>
      </c>
      <c r="R34" s="107">
        <f t="shared" si="23"/>
        <v>21.421294804000734</v>
      </c>
      <c r="S34" s="112">
        <f t="shared" si="23"/>
        <v>18.648267795942825</v>
      </c>
      <c r="T34" s="112"/>
      <c r="U34" s="107">
        <f t="shared" si="3"/>
        <v>140.37441916851802</v>
      </c>
      <c r="V34" s="112"/>
      <c r="W34" s="107"/>
      <c r="X34" s="112"/>
      <c r="Y34" s="107"/>
      <c r="Z34" s="112"/>
      <c r="AA34" s="112"/>
      <c r="AB34" s="112"/>
      <c r="AC34" s="107">
        <v>4.2</v>
      </c>
      <c r="AD34" s="112"/>
      <c r="AE34" s="112"/>
      <c r="AF34" s="112"/>
      <c r="AG34" s="112"/>
      <c r="AH34" s="112"/>
      <c r="AI34" s="109">
        <f t="shared" si="22"/>
        <v>35.662737503480514</v>
      </c>
      <c r="AJ34" s="107">
        <f t="shared" si="22"/>
        <v>133.02639473655026</v>
      </c>
      <c r="AK34" s="112"/>
      <c r="AL34" s="112"/>
      <c r="AM34" s="107">
        <f t="shared" si="6"/>
        <v>172.88913224003079</v>
      </c>
      <c r="AN34" s="110">
        <f t="shared" si="0"/>
        <v>-32.514713071512773</v>
      </c>
      <c r="AO34" s="110">
        <f t="shared" si="7"/>
        <v>913.82277550180345</v>
      </c>
      <c r="AP34" s="112"/>
      <c r="AQ34" s="112"/>
      <c r="AR34" s="112"/>
      <c r="AS34" s="112"/>
      <c r="AT34" s="112"/>
      <c r="AU34" s="112"/>
    </row>
    <row r="35" spans="4:47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J35" s="107">
        <f t="shared" si="15"/>
        <v>913.82277550180345</v>
      </c>
      <c r="K35" s="107">
        <v>0.02</v>
      </c>
      <c r="L35" s="112"/>
      <c r="M35" s="112"/>
      <c r="N35" s="107">
        <f t="shared" si="19"/>
        <v>18.276455510036069</v>
      </c>
      <c r="O35" s="107">
        <f t="shared" si="24"/>
        <v>9.4227029605056511</v>
      </c>
      <c r="P35" s="112">
        <f t="shared" si="24"/>
        <v>40.12023620883982</v>
      </c>
      <c r="Q35" s="112">
        <f t="shared" si="24"/>
        <v>33.462729763704822</v>
      </c>
      <c r="R35" s="107">
        <f t="shared" si="23"/>
        <v>21.421294804000734</v>
      </c>
      <c r="S35" s="112">
        <f t="shared" si="23"/>
        <v>18.648267795942825</v>
      </c>
      <c r="T35" s="112"/>
      <c r="U35" s="107">
        <f t="shared" si="3"/>
        <v>141.35168704302993</v>
      </c>
      <c r="V35" s="112"/>
      <c r="W35" s="107"/>
      <c r="X35" s="112"/>
      <c r="Y35" s="107"/>
      <c r="Z35" s="112"/>
      <c r="AA35" s="112"/>
      <c r="AB35" s="112"/>
      <c r="AC35" s="107">
        <v>4.2</v>
      </c>
      <c r="AD35" s="112"/>
      <c r="AE35" s="112"/>
      <c r="AF35" s="112"/>
      <c r="AG35" s="112"/>
      <c r="AH35" s="112"/>
      <c r="AI35" s="109">
        <f t="shared" si="22"/>
        <v>36.375992253550123</v>
      </c>
      <c r="AJ35" s="107">
        <f t="shared" si="22"/>
        <v>135.68692263128128</v>
      </c>
      <c r="AK35" s="112"/>
      <c r="AL35" s="112"/>
      <c r="AM35" s="107">
        <f t="shared" si="6"/>
        <v>176.26291488483139</v>
      </c>
      <c r="AN35" s="110">
        <f t="shared" si="0"/>
        <v>-34.911227841801463</v>
      </c>
      <c r="AO35" s="110">
        <f t="shared" si="7"/>
        <v>878.91154766000204</v>
      </c>
      <c r="AP35" s="112"/>
      <c r="AQ35" s="112"/>
      <c r="AR35" s="112"/>
      <c r="AS35" s="112"/>
      <c r="AT35" s="112"/>
      <c r="AU35" s="112"/>
    </row>
    <row r="36" spans="4:47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J36" s="107">
        <f t="shared" si="15"/>
        <v>878.91154766000204</v>
      </c>
      <c r="K36" s="107">
        <v>0.02</v>
      </c>
      <c r="L36" s="112"/>
      <c r="M36" s="112"/>
      <c r="N36" s="107">
        <f t="shared" si="19"/>
        <v>17.578230953200041</v>
      </c>
      <c r="O36" s="107">
        <f t="shared" si="24"/>
        <v>9.6111570197157636</v>
      </c>
      <c r="P36" s="112">
        <f t="shared" si="24"/>
        <v>40.922640933016616</v>
      </c>
      <c r="Q36" s="112">
        <f t="shared" si="24"/>
        <v>34.131984358978919</v>
      </c>
      <c r="R36" s="107">
        <f t="shared" si="23"/>
        <v>21.421294804000734</v>
      </c>
      <c r="S36" s="112">
        <f t="shared" si="23"/>
        <v>18.648267795942825</v>
      </c>
      <c r="T36" s="112"/>
      <c r="U36" s="107">
        <f t="shared" si="3"/>
        <v>142.3135758648549</v>
      </c>
      <c r="V36" s="112"/>
      <c r="W36" s="107"/>
      <c r="X36" s="112"/>
      <c r="Y36" s="107"/>
      <c r="Z36" s="112"/>
      <c r="AA36" s="112"/>
      <c r="AB36" s="112"/>
      <c r="AC36" s="107">
        <v>4.2</v>
      </c>
      <c r="AD36" s="112"/>
      <c r="AE36" s="112"/>
      <c r="AF36" s="112"/>
      <c r="AG36" s="112"/>
      <c r="AH36" s="112"/>
      <c r="AI36" s="109">
        <f t="shared" si="22"/>
        <v>37.103512098621124</v>
      </c>
      <c r="AJ36" s="107">
        <f t="shared" si="22"/>
        <v>138.4006610839069</v>
      </c>
      <c r="AK36" s="112"/>
      <c r="AL36" s="112"/>
      <c r="AM36" s="107">
        <f t="shared" si="6"/>
        <v>179.70417318252802</v>
      </c>
      <c r="AN36" s="110">
        <f t="shared" si="0"/>
        <v>-37.390597317673127</v>
      </c>
      <c r="AO36" s="110">
        <f t="shared" si="7"/>
        <v>841.52095034232889</v>
      </c>
      <c r="AP36" s="112"/>
      <c r="AQ36" s="112"/>
      <c r="AR36" s="112"/>
      <c r="AS36" s="112"/>
      <c r="AT36" s="112"/>
      <c r="AU36" s="112"/>
    </row>
    <row r="37" spans="4:47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J37" s="107">
        <f t="shared" si="15"/>
        <v>841.52095034232889</v>
      </c>
      <c r="K37" s="107">
        <v>0.02</v>
      </c>
      <c r="L37" s="112"/>
      <c r="M37" s="112"/>
      <c r="N37" s="107">
        <f t="shared" si="19"/>
        <v>16.830419006846579</v>
      </c>
      <c r="O37" s="107">
        <f t="shared" si="24"/>
        <v>9.8033801601100787</v>
      </c>
      <c r="P37" s="112">
        <f t="shared" si="24"/>
        <v>41.741093751676949</v>
      </c>
      <c r="Q37" s="112">
        <f t="shared" si="24"/>
        <v>34.814624046158499</v>
      </c>
      <c r="R37" s="107">
        <f t="shared" si="23"/>
        <v>21.421294804000734</v>
      </c>
      <c r="S37" s="112">
        <f t="shared" si="23"/>
        <v>18.648267795942825</v>
      </c>
      <c r="T37" s="112"/>
      <c r="U37" s="107">
        <f t="shared" si="3"/>
        <v>143.25907956473566</v>
      </c>
      <c r="V37" s="112"/>
      <c r="W37" s="107"/>
      <c r="X37" s="112"/>
      <c r="Y37" s="107"/>
      <c r="Z37" s="112"/>
      <c r="AA37" s="112"/>
      <c r="AB37" s="112"/>
      <c r="AC37" s="107">
        <v>4.2</v>
      </c>
      <c r="AD37" s="112"/>
      <c r="AE37" s="112"/>
      <c r="AF37" s="112"/>
      <c r="AG37" s="112"/>
      <c r="AH37" s="112"/>
      <c r="AI37" s="109">
        <f t="shared" ref="AI37:AJ52" si="25">AI36*(1+$B$3)</f>
        <v>37.845582340593545</v>
      </c>
      <c r="AJ37" s="107">
        <f t="shared" si="25"/>
        <v>141.16867430558503</v>
      </c>
      <c r="AK37" s="112"/>
      <c r="AL37" s="112"/>
      <c r="AM37" s="107">
        <f t="shared" si="6"/>
        <v>183.21425664617857</v>
      </c>
      <c r="AN37" s="110">
        <f t="shared" si="0"/>
        <v>-39.955177081442912</v>
      </c>
      <c r="AO37" s="110">
        <f t="shared" si="7"/>
        <v>801.56577326088598</v>
      </c>
      <c r="AP37" s="112"/>
      <c r="AQ37" s="112"/>
      <c r="AR37" s="112"/>
      <c r="AS37" s="112"/>
      <c r="AT37" s="112"/>
      <c r="AU37" s="112"/>
    </row>
    <row r="38" spans="4:47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J38" s="107">
        <f t="shared" si="15"/>
        <v>801.56577326088598</v>
      </c>
      <c r="K38" s="107">
        <v>0.02</v>
      </c>
      <c r="L38" s="112"/>
      <c r="M38" s="112"/>
      <c r="N38" s="107">
        <f t="shared" si="19"/>
        <v>16.03131546521772</v>
      </c>
      <c r="O38" s="107">
        <f t="shared" si="24"/>
        <v>9.9994477633122809</v>
      </c>
      <c r="P38" s="112">
        <f t="shared" si="24"/>
        <v>42.57591562671049</v>
      </c>
      <c r="Q38" s="112">
        <f t="shared" si="24"/>
        <v>35.510916527081669</v>
      </c>
      <c r="R38" s="107">
        <f t="shared" si="23"/>
        <v>21.421294804000734</v>
      </c>
      <c r="S38" s="112">
        <f t="shared" si="23"/>
        <v>18.648267795942825</v>
      </c>
      <c r="T38" s="112"/>
      <c r="U38" s="107">
        <f t="shared" si="3"/>
        <v>144.18715798226572</v>
      </c>
      <c r="V38" s="112"/>
      <c r="W38" s="107"/>
      <c r="X38" s="112"/>
      <c r="Y38" s="107"/>
      <c r="Z38" s="112"/>
      <c r="AA38" s="112"/>
      <c r="AB38" s="112"/>
      <c r="AC38" s="107">
        <v>4.2</v>
      </c>
      <c r="AD38" s="112"/>
      <c r="AE38" s="112"/>
      <c r="AF38" s="112"/>
      <c r="AG38" s="112"/>
      <c r="AH38" s="112"/>
      <c r="AI38" s="109">
        <f t="shared" si="25"/>
        <v>38.602493987405417</v>
      </c>
      <c r="AJ38" s="107">
        <f t="shared" si="25"/>
        <v>143.99204779169673</v>
      </c>
      <c r="AK38" s="112"/>
      <c r="AL38" s="112"/>
      <c r="AM38" s="107">
        <f t="shared" si="6"/>
        <v>186.79454177910216</v>
      </c>
      <c r="AN38" s="110">
        <f t="shared" si="0"/>
        <v>-42.607383796836444</v>
      </c>
      <c r="AO38" s="110">
        <f t="shared" si="7"/>
        <v>758.95838946404956</v>
      </c>
      <c r="AP38" s="112"/>
      <c r="AQ38" s="112"/>
      <c r="AR38" s="112"/>
      <c r="AS38" s="112"/>
      <c r="AT38" s="112"/>
      <c r="AU38" s="112"/>
    </row>
    <row r="39" spans="4:47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J39" s="107">
        <f t="shared" si="15"/>
        <v>758.95838946404956</v>
      </c>
      <c r="K39" s="107">
        <v>0.02</v>
      </c>
      <c r="L39" s="112"/>
      <c r="M39" s="112"/>
      <c r="N39" s="107">
        <f t="shared" si="19"/>
        <v>15.179167789280992</v>
      </c>
      <c r="O39" s="107">
        <f t="shared" si="24"/>
        <v>10.199436718578527</v>
      </c>
      <c r="P39" s="112">
        <f t="shared" si="24"/>
        <v>43.4274339392447</v>
      </c>
      <c r="Q39" s="112">
        <f t="shared" si="24"/>
        <v>36.221134857623305</v>
      </c>
      <c r="R39" s="107">
        <f t="shared" si="23"/>
        <v>21.421294804000734</v>
      </c>
      <c r="S39" s="112">
        <f t="shared" si="23"/>
        <v>18.648267795942825</v>
      </c>
      <c r="T39" s="112"/>
      <c r="U39" s="107">
        <f t="shared" si="3"/>
        <v>145.09673590467108</v>
      </c>
      <c r="V39" s="112"/>
      <c r="W39" s="107"/>
      <c r="X39" s="112"/>
      <c r="Y39" s="107"/>
      <c r="Z39" s="112"/>
      <c r="AA39" s="112"/>
      <c r="AB39" s="112"/>
      <c r="AC39" s="112"/>
      <c r="AD39" s="112"/>
      <c r="AE39" s="112"/>
      <c r="AF39" s="112"/>
      <c r="AG39" s="112"/>
      <c r="AH39" s="112"/>
      <c r="AI39" s="109">
        <f t="shared" si="25"/>
        <v>39.374543867153527</v>
      </c>
      <c r="AJ39" s="107">
        <f t="shared" si="25"/>
        <v>146.87188874753068</v>
      </c>
      <c r="AK39" s="112"/>
      <c r="AL39" s="112"/>
      <c r="AM39" s="107">
        <f t="shared" si="6"/>
        <v>186.24643261468421</v>
      </c>
      <c r="AN39" s="110">
        <f t="shared" si="0"/>
        <v>-41.149696710013131</v>
      </c>
      <c r="AO39" s="110">
        <f t="shared" si="7"/>
        <v>717.80869275403643</v>
      </c>
      <c r="AP39" s="112"/>
      <c r="AQ39" s="112"/>
      <c r="AR39" s="112"/>
      <c r="AS39" s="112"/>
      <c r="AT39" s="112"/>
      <c r="AU39" s="112"/>
    </row>
    <row r="40" spans="4:47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J40" s="107">
        <f t="shared" si="15"/>
        <v>717.80869275403643</v>
      </c>
      <c r="K40" s="107">
        <v>0.02</v>
      </c>
      <c r="L40" s="112"/>
      <c r="M40" s="112"/>
      <c r="N40" s="107">
        <f t="shared" si="19"/>
        <v>14.356173855080728</v>
      </c>
      <c r="O40" s="107">
        <f t="shared" si="24"/>
        <v>10.403425452950097</v>
      </c>
      <c r="P40" s="112">
        <f t="shared" si="24"/>
        <v>44.295982618029598</v>
      </c>
      <c r="Q40" s="112">
        <f t="shared" si="24"/>
        <v>36.945557554775775</v>
      </c>
      <c r="R40" s="107">
        <f t="shared" si="23"/>
        <v>21.421294804000734</v>
      </c>
      <c r="S40" s="112">
        <f t="shared" si="23"/>
        <v>18.648267795942825</v>
      </c>
      <c r="T40" s="112"/>
      <c r="U40" s="107">
        <f t="shared" si="3"/>
        <v>146.07070208077977</v>
      </c>
      <c r="V40" s="112"/>
      <c r="W40" s="107"/>
      <c r="X40" s="112"/>
      <c r="Y40" s="107"/>
      <c r="Z40" s="112"/>
      <c r="AA40" s="112"/>
      <c r="AB40" s="112"/>
      <c r="AC40" s="112"/>
      <c r="AD40" s="112"/>
      <c r="AE40" s="112"/>
      <c r="AF40" s="112"/>
      <c r="AG40" s="112"/>
      <c r="AH40" s="112"/>
      <c r="AI40" s="109">
        <f t="shared" si="25"/>
        <v>40.162034744496601</v>
      </c>
      <c r="AJ40" s="107">
        <f t="shared" si="25"/>
        <v>149.80932652248129</v>
      </c>
      <c r="AK40" s="112"/>
      <c r="AL40" s="112"/>
      <c r="AM40" s="107">
        <f t="shared" si="6"/>
        <v>189.97136126697788</v>
      </c>
      <c r="AN40" s="110">
        <f t="shared" si="0"/>
        <v>-43.900659186198112</v>
      </c>
      <c r="AO40" s="110">
        <f t="shared" si="7"/>
        <v>673.90803356783829</v>
      </c>
      <c r="AP40" s="112"/>
      <c r="AQ40" s="112"/>
      <c r="AR40" s="112"/>
      <c r="AS40" s="112"/>
      <c r="AT40" s="112"/>
      <c r="AU40" s="112"/>
    </row>
    <row r="41" spans="4:47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J41" s="107">
        <f t="shared" si="15"/>
        <v>673.90803356783829</v>
      </c>
      <c r="K41" s="107">
        <v>0.02</v>
      </c>
      <c r="L41" s="112"/>
      <c r="M41" s="112"/>
      <c r="N41" s="107">
        <f t="shared" si="19"/>
        <v>13.478160671356767</v>
      </c>
      <c r="O41" s="107">
        <f t="shared" si="24"/>
        <v>10.611493962009099</v>
      </c>
      <c r="P41" s="112">
        <f t="shared" si="24"/>
        <v>45.181902270390189</v>
      </c>
      <c r="Q41" s="112">
        <f t="shared" si="24"/>
        <v>37.684468705871289</v>
      </c>
      <c r="R41" s="107">
        <f t="shared" si="23"/>
        <v>21.421294804000734</v>
      </c>
      <c r="S41" s="112">
        <f t="shared" si="23"/>
        <v>18.648267795942825</v>
      </c>
      <c r="T41" s="112"/>
      <c r="U41" s="107">
        <f t="shared" si="3"/>
        <v>147.02558820957088</v>
      </c>
      <c r="V41" s="112"/>
      <c r="W41" s="107"/>
      <c r="X41" s="112"/>
      <c r="Y41" s="107"/>
      <c r="Z41" s="112"/>
      <c r="AA41" s="112"/>
      <c r="AB41" s="112"/>
      <c r="AC41" s="112"/>
      <c r="AD41" s="112"/>
      <c r="AE41" s="112"/>
      <c r="AF41" s="112"/>
      <c r="AG41" s="112"/>
      <c r="AH41" s="112"/>
      <c r="AI41" s="109">
        <f t="shared" si="25"/>
        <v>40.965275439386531</v>
      </c>
      <c r="AJ41" s="107">
        <f t="shared" si="25"/>
        <v>152.80551305293091</v>
      </c>
      <c r="AK41" s="112"/>
      <c r="AL41" s="112"/>
      <c r="AM41" s="107">
        <f t="shared" si="6"/>
        <v>193.77078849231742</v>
      </c>
      <c r="AN41" s="110">
        <f t="shared" si="0"/>
        <v>-46.745200282746538</v>
      </c>
      <c r="AO41" s="110">
        <f t="shared" si="7"/>
        <v>627.16283328509178</v>
      </c>
      <c r="AP41" s="112"/>
      <c r="AQ41" s="112"/>
      <c r="AR41" s="112"/>
      <c r="AS41" s="112"/>
      <c r="AT41" s="112"/>
      <c r="AU41" s="112"/>
    </row>
    <row r="42" spans="4:47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J42" s="107">
        <f t="shared" si="15"/>
        <v>627.16283328509178</v>
      </c>
      <c r="K42" s="107">
        <v>0.02</v>
      </c>
      <c r="L42" s="112"/>
      <c r="M42" s="112"/>
      <c r="N42" s="107">
        <f t="shared" si="19"/>
        <v>12.543256665701836</v>
      </c>
      <c r="O42" s="107">
        <f t="shared" si="24"/>
        <v>10.823723841249281</v>
      </c>
      <c r="P42" s="112">
        <f t="shared" si="24"/>
        <v>46.085540315797992</v>
      </c>
      <c r="Q42" s="112">
        <f t="shared" si="24"/>
        <v>38.438158079988717</v>
      </c>
      <c r="R42" s="107">
        <f t="shared" si="23"/>
        <v>21.421294804000734</v>
      </c>
      <c r="S42" s="112">
        <f t="shared" si="23"/>
        <v>18.648267795942825</v>
      </c>
      <c r="T42" s="112"/>
      <c r="U42" s="107">
        <f t="shared" si="3"/>
        <v>147.96024150268136</v>
      </c>
      <c r="V42" s="112"/>
      <c r="W42" s="107"/>
      <c r="X42" s="112"/>
      <c r="Y42" s="107"/>
      <c r="Z42" s="112"/>
      <c r="AA42" s="112"/>
      <c r="AB42" s="112"/>
      <c r="AC42" s="112"/>
      <c r="AD42" s="112"/>
      <c r="AE42" s="112"/>
      <c r="AF42" s="112"/>
      <c r="AG42" s="112"/>
      <c r="AH42" s="112"/>
      <c r="AI42" s="109">
        <f t="shared" si="25"/>
        <v>41.784580948174259</v>
      </c>
      <c r="AJ42" s="107">
        <f t="shared" si="25"/>
        <v>155.86162331398953</v>
      </c>
      <c r="AK42" s="112"/>
      <c r="AL42" s="112"/>
      <c r="AM42" s="107">
        <f t="shared" si="6"/>
        <v>197.64620426216379</v>
      </c>
      <c r="AN42" s="110">
        <f t="shared" si="0"/>
        <v>-49.685962759482436</v>
      </c>
      <c r="AO42" s="110">
        <f t="shared" si="7"/>
        <v>577.47687052560934</v>
      </c>
      <c r="AP42" s="112"/>
      <c r="AQ42" s="112"/>
      <c r="AR42" s="112"/>
      <c r="AS42" s="112"/>
      <c r="AT42" s="112"/>
      <c r="AU42" s="112"/>
    </row>
    <row r="43" spans="4:47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J43" s="107">
        <f t="shared" si="15"/>
        <v>577.47687052560934</v>
      </c>
      <c r="K43" s="107">
        <v>0.02</v>
      </c>
      <c r="L43" s="112"/>
      <c r="M43" s="112"/>
      <c r="N43" s="107">
        <f t="shared" si="19"/>
        <v>11.549537410512187</v>
      </c>
      <c r="O43" s="107">
        <f t="shared" si="24"/>
        <v>11.040198318074268</v>
      </c>
      <c r="P43" s="112">
        <f t="shared" si="24"/>
        <v>47.007251122113949</v>
      </c>
      <c r="Q43" s="112">
        <f t="shared" si="24"/>
        <v>39.206921241588489</v>
      </c>
      <c r="R43" s="107">
        <f t="shared" si="23"/>
        <v>21.421294804000734</v>
      </c>
      <c r="S43" s="112">
        <f t="shared" si="23"/>
        <v>18.648267795942825</v>
      </c>
      <c r="T43" s="112"/>
      <c r="U43" s="107">
        <f t="shared" si="3"/>
        <v>148.87347069223244</v>
      </c>
      <c r="V43" s="112"/>
      <c r="W43" s="107"/>
      <c r="X43" s="112"/>
      <c r="Y43" s="107"/>
      <c r="Z43" s="112"/>
      <c r="AA43" s="112"/>
      <c r="AB43" s="112"/>
      <c r="AC43" s="112"/>
      <c r="AD43" s="112"/>
      <c r="AE43" s="112"/>
      <c r="AF43" s="112"/>
      <c r="AG43" s="112"/>
      <c r="AH43" s="112"/>
      <c r="AI43" s="109">
        <f t="shared" si="25"/>
        <v>42.620272567137746</v>
      </c>
      <c r="AJ43" s="107">
        <f t="shared" si="25"/>
        <v>158.97885578026933</v>
      </c>
      <c r="AK43" s="112"/>
      <c r="AL43" s="112"/>
      <c r="AM43" s="107">
        <f t="shared" si="6"/>
        <v>201.59912834740709</v>
      </c>
      <c r="AN43" s="110">
        <f t="shared" si="0"/>
        <v>-52.725657655174643</v>
      </c>
      <c r="AO43" s="110">
        <f t="shared" si="7"/>
        <v>524.75121287043476</v>
      </c>
      <c r="AP43" s="112"/>
      <c r="AQ43" s="112"/>
      <c r="AR43" s="112"/>
      <c r="AS43" s="112"/>
      <c r="AT43" s="112"/>
      <c r="AU43" s="112"/>
    </row>
    <row r="44" spans="4:47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J44" s="107">
        <f t="shared" si="15"/>
        <v>524.75121287043476</v>
      </c>
      <c r="K44" s="107">
        <v>0.02</v>
      </c>
      <c r="L44" s="112"/>
      <c r="M44" s="112"/>
      <c r="N44" s="107">
        <f t="shared" si="19"/>
        <v>10.495024257408696</v>
      </c>
      <c r="O44" s="107">
        <f t="shared" si="24"/>
        <v>11.261002284435753</v>
      </c>
      <c r="P44" s="112">
        <f t="shared" si="24"/>
        <v>47.94739614455623</v>
      </c>
      <c r="Q44" s="112">
        <f t="shared" si="24"/>
        <v>39.991059666420263</v>
      </c>
      <c r="R44" s="107">
        <f t="shared" si="23"/>
        <v>21.421294804000734</v>
      </c>
      <c r="S44" s="112">
        <f t="shared" si="23"/>
        <v>18.648267795942825</v>
      </c>
      <c r="T44" s="112"/>
      <c r="U44" s="107">
        <f t="shared" si="3"/>
        <v>149.76404495276446</v>
      </c>
      <c r="V44" s="112"/>
      <c r="W44" s="107"/>
      <c r="X44" s="112"/>
      <c r="Y44" s="107"/>
      <c r="Z44" s="112"/>
      <c r="AA44" s="112"/>
      <c r="AB44" s="112"/>
      <c r="AC44" s="112"/>
      <c r="AD44" s="112"/>
      <c r="AE44" s="112"/>
      <c r="AF44" s="112"/>
      <c r="AG44" s="112"/>
      <c r="AH44" s="112"/>
      <c r="AI44" s="109">
        <f t="shared" si="25"/>
        <v>43.472678018480501</v>
      </c>
      <c r="AJ44" s="107">
        <f t="shared" si="25"/>
        <v>162.15843289587471</v>
      </c>
      <c r="AK44" s="112"/>
      <c r="AL44" s="112"/>
      <c r="AM44" s="107">
        <f t="shared" si="6"/>
        <v>205.63111091435522</v>
      </c>
      <c r="AN44" s="110">
        <f t="shared" si="0"/>
        <v>-55.867065961590754</v>
      </c>
      <c r="AO44" s="110">
        <f t="shared" si="7"/>
        <v>468.884146908844</v>
      </c>
      <c r="AP44" s="112"/>
      <c r="AQ44" s="112"/>
      <c r="AR44" s="112"/>
      <c r="AS44" s="112"/>
      <c r="AT44" s="112"/>
      <c r="AU44" s="112"/>
    </row>
    <row r="45" spans="4:47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J45" s="107">
        <f t="shared" si="15"/>
        <v>468.884146908844</v>
      </c>
      <c r="K45" s="107">
        <v>0.02</v>
      </c>
      <c r="L45" s="112"/>
      <c r="M45" s="112"/>
      <c r="N45" s="107">
        <f t="shared" si="19"/>
        <v>9.3776829381768803</v>
      </c>
      <c r="O45" s="107">
        <f t="shared" si="24"/>
        <v>11.486222330124468</v>
      </c>
      <c r="P45" s="112">
        <f t="shared" si="24"/>
        <v>48.906344067447357</v>
      </c>
      <c r="Q45" s="112">
        <f t="shared" si="24"/>
        <v>40.790880859748668</v>
      </c>
      <c r="R45" s="107">
        <f t="shared" si="23"/>
        <v>21.421294804000734</v>
      </c>
      <c r="S45" s="112">
        <f t="shared" si="23"/>
        <v>18.648267795942825</v>
      </c>
      <c r="T45" s="112"/>
      <c r="U45" s="107">
        <f t="shared" si="3"/>
        <v>150.63069279544092</v>
      </c>
      <c r="V45" s="112"/>
      <c r="W45" s="107"/>
      <c r="X45" s="112"/>
      <c r="Y45" s="107"/>
      <c r="Z45" s="112"/>
      <c r="AA45" s="112"/>
      <c r="AB45" s="112"/>
      <c r="AC45" s="112"/>
      <c r="AD45" s="112"/>
      <c r="AE45" s="112"/>
      <c r="AF45" s="112"/>
      <c r="AG45" s="112"/>
      <c r="AH45" s="112"/>
      <c r="AI45" s="109">
        <f t="shared" si="25"/>
        <v>44.342131578850115</v>
      </c>
      <c r="AJ45" s="107">
        <f t="shared" si="25"/>
        <v>165.4016015537922</v>
      </c>
      <c r="AK45" s="112"/>
      <c r="AL45" s="112"/>
      <c r="AM45" s="107">
        <f t="shared" si="6"/>
        <v>209.74373313264232</v>
      </c>
      <c r="AN45" s="110">
        <f t="shared" si="0"/>
        <v>-59.113040337201397</v>
      </c>
      <c r="AO45" s="110">
        <f t="shared" si="7"/>
        <v>409.77110657164258</v>
      </c>
      <c r="AP45" s="112"/>
      <c r="AQ45" s="112"/>
      <c r="AR45" s="112"/>
      <c r="AS45" s="112"/>
      <c r="AT45" s="112"/>
      <c r="AU45" s="112"/>
    </row>
    <row r="46" spans="4:47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J46" s="107">
        <f t="shared" si="15"/>
        <v>409.77110657164258</v>
      </c>
      <c r="K46" s="107">
        <v>0.02</v>
      </c>
      <c r="L46" s="112"/>
      <c r="M46" s="112"/>
      <c r="N46" s="107">
        <f t="shared" si="19"/>
        <v>8.195422131432851</v>
      </c>
      <c r="O46" s="107">
        <f t="shared" si="24"/>
        <v>11.715946776726957</v>
      </c>
      <c r="P46" s="112">
        <f t="shared" si="24"/>
        <v>49.884470948796306</v>
      </c>
      <c r="Q46" s="112">
        <f t="shared" si="24"/>
        <v>41.606698476943642</v>
      </c>
      <c r="R46" s="107">
        <f t="shared" ref="R46:S47" si="26">R45</f>
        <v>21.421294804000734</v>
      </c>
      <c r="S46" s="112">
        <f t="shared" si="26"/>
        <v>18.648267795942825</v>
      </c>
      <c r="T46" s="112"/>
      <c r="U46" s="107">
        <f t="shared" si="3"/>
        <v>151.47210093384331</v>
      </c>
      <c r="V46" s="112"/>
      <c r="W46" s="107"/>
      <c r="X46" s="112"/>
      <c r="Y46" s="107"/>
      <c r="Z46" s="112"/>
      <c r="AA46" s="112"/>
      <c r="AB46" s="112"/>
      <c r="AC46" s="112"/>
      <c r="AD46" s="112"/>
      <c r="AE46" s="112"/>
      <c r="AF46" s="112"/>
      <c r="AG46" s="112"/>
      <c r="AH46" s="112"/>
      <c r="AI46" s="109">
        <f t="shared" si="25"/>
        <v>45.228974210427118</v>
      </c>
      <c r="AJ46" s="107">
        <f t="shared" si="25"/>
        <v>168.70963358486804</v>
      </c>
      <c r="AK46" s="112"/>
      <c r="AL46" s="112"/>
      <c r="AM46" s="107">
        <f t="shared" si="6"/>
        <v>213.93860779529516</v>
      </c>
      <c r="AN46" s="110">
        <f t="shared" si="0"/>
        <v>-62.466506861451847</v>
      </c>
      <c r="AO46" s="110">
        <f t="shared" si="7"/>
        <v>347.3045997101907</v>
      </c>
      <c r="AP46" s="112"/>
      <c r="AQ46" s="112"/>
      <c r="AR46" s="112"/>
      <c r="AS46" s="112"/>
      <c r="AT46" s="112"/>
      <c r="AU46" s="112"/>
    </row>
    <row r="47" spans="4:47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J47" s="107">
        <f t="shared" si="15"/>
        <v>347.3045997101907</v>
      </c>
      <c r="K47" s="107">
        <v>0.02</v>
      </c>
      <c r="L47" s="112"/>
      <c r="M47" s="112"/>
      <c r="N47" s="107">
        <f t="shared" si="19"/>
        <v>6.9460919942038144</v>
      </c>
      <c r="O47" s="107">
        <f t="shared" ref="O47:Q53" si="27">O46*(1+$B$3)</f>
        <v>11.950265712261496</v>
      </c>
      <c r="P47" s="112">
        <f t="shared" si="27"/>
        <v>50.882160367772229</v>
      </c>
      <c r="Q47" s="112">
        <f t="shared" si="27"/>
        <v>42.438832446482515</v>
      </c>
      <c r="R47" s="107">
        <f t="shared" si="26"/>
        <v>21.421294804000734</v>
      </c>
      <c r="S47" s="112">
        <f t="shared" si="26"/>
        <v>18.648267795942825</v>
      </c>
      <c r="T47" s="112"/>
      <c r="U47" s="107">
        <f t="shared" si="3"/>
        <v>152.2869131206636</v>
      </c>
      <c r="V47" s="112"/>
      <c r="W47" s="107"/>
      <c r="X47" s="112"/>
      <c r="Y47" s="107"/>
      <c r="Z47" s="112"/>
      <c r="AA47" s="112"/>
      <c r="AB47" s="112"/>
      <c r="AC47" s="112"/>
      <c r="AD47" s="112"/>
      <c r="AE47" s="112"/>
      <c r="AF47" s="112"/>
      <c r="AG47" s="112"/>
      <c r="AH47" s="112"/>
      <c r="AI47" s="109">
        <f t="shared" si="25"/>
        <v>46.133553694635658</v>
      </c>
      <c r="AJ47" s="107">
        <f t="shared" si="25"/>
        <v>172.0838262565654</v>
      </c>
      <c r="AK47" s="112"/>
      <c r="AL47" s="112"/>
      <c r="AM47" s="107">
        <f t="shared" si="6"/>
        <v>218.21737995120105</v>
      </c>
      <c r="AN47" s="110">
        <f t="shared" si="0"/>
        <v>-65.930466830537455</v>
      </c>
      <c r="AO47" s="110">
        <f t="shared" si="7"/>
        <v>281.37413287965325</v>
      </c>
      <c r="AP47" s="112"/>
      <c r="AQ47" s="112"/>
      <c r="AR47" s="112"/>
      <c r="AS47" s="112"/>
      <c r="AT47" s="112"/>
      <c r="AU47" s="112"/>
    </row>
    <row r="48" spans="4:47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J48" s="107">
        <f t="shared" si="15"/>
        <v>281.37413287965325</v>
      </c>
      <c r="K48" s="107">
        <v>0.02</v>
      </c>
      <c r="L48" s="112"/>
      <c r="M48" s="112"/>
      <c r="N48" s="107">
        <f t="shared" si="19"/>
        <v>5.627482657593065</v>
      </c>
      <c r="O48" s="107">
        <f t="shared" si="27"/>
        <v>12.189271026506725</v>
      </c>
      <c r="P48" s="112">
        <f t="shared" si="27"/>
        <v>51.899803575127677</v>
      </c>
      <c r="Q48" s="112">
        <f t="shared" si="27"/>
        <v>43.287609095412165</v>
      </c>
      <c r="R48" s="107"/>
      <c r="S48" s="112"/>
      <c r="T48" s="112"/>
      <c r="U48" s="107">
        <f t="shared" si="3"/>
        <v>113.00416635463964</v>
      </c>
      <c r="V48" s="112"/>
      <c r="W48" s="107"/>
      <c r="X48" s="112"/>
      <c r="Y48" s="107"/>
      <c r="Z48" s="112"/>
      <c r="AA48" s="112"/>
      <c r="AB48" s="112"/>
      <c r="AC48" s="112"/>
      <c r="AD48" s="112"/>
      <c r="AE48" s="112"/>
      <c r="AF48" s="112"/>
      <c r="AG48" s="112"/>
      <c r="AH48" s="112"/>
      <c r="AI48" s="109">
        <f t="shared" si="25"/>
        <v>47.056224768528374</v>
      </c>
      <c r="AJ48" s="107">
        <f t="shared" si="25"/>
        <v>175.5255027816967</v>
      </c>
      <c r="AK48" s="112"/>
      <c r="AL48" s="112"/>
      <c r="AM48" s="107">
        <f t="shared" si="6"/>
        <v>222.58172755022508</v>
      </c>
      <c r="AN48" s="110">
        <f t="shared" si="0"/>
        <v>-109.57756119558545</v>
      </c>
      <c r="AO48" s="110">
        <f t="shared" si="7"/>
        <v>171.7965716840678</v>
      </c>
      <c r="AP48" s="112"/>
      <c r="AQ48" s="112"/>
      <c r="AR48" s="112"/>
      <c r="AS48" s="112"/>
      <c r="AT48" s="112"/>
      <c r="AU48" s="112"/>
    </row>
    <row r="49" spans="4:47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J49" s="107">
        <f t="shared" si="15"/>
        <v>171.7965716840678</v>
      </c>
      <c r="K49" s="107">
        <v>0.02</v>
      </c>
      <c r="L49" s="112"/>
      <c r="M49" s="112"/>
      <c r="N49" s="107">
        <f t="shared" si="19"/>
        <v>3.4359314336813562</v>
      </c>
      <c r="O49" s="107">
        <f t="shared" si="27"/>
        <v>12.43305644703686</v>
      </c>
      <c r="P49" s="112">
        <f t="shared" si="27"/>
        <v>52.937799646630232</v>
      </c>
      <c r="Q49" s="112">
        <f t="shared" si="27"/>
        <v>44.153361277320407</v>
      </c>
      <c r="R49" s="107"/>
      <c r="S49" s="112"/>
      <c r="T49" s="112"/>
      <c r="U49" s="107">
        <f t="shared" si="3"/>
        <v>112.96014880466885</v>
      </c>
      <c r="V49" s="112"/>
      <c r="W49" s="107"/>
      <c r="X49" s="112"/>
      <c r="Y49" s="107"/>
      <c r="Z49" s="112"/>
      <c r="AA49" s="112"/>
      <c r="AB49" s="112"/>
      <c r="AC49" s="112"/>
      <c r="AD49" s="112"/>
      <c r="AE49" s="112"/>
      <c r="AF49" s="112"/>
      <c r="AG49" s="112"/>
      <c r="AH49" s="112"/>
      <c r="AI49" s="109">
        <f t="shared" si="25"/>
        <v>47.99734926389894</v>
      </c>
      <c r="AJ49" s="107">
        <f t="shared" si="25"/>
        <v>179.03601283733065</v>
      </c>
      <c r="AK49" s="112"/>
      <c r="AL49" s="112"/>
      <c r="AM49" s="107">
        <f t="shared" si="6"/>
        <v>227.03336210122959</v>
      </c>
      <c r="AN49" s="110">
        <f t="shared" si="0"/>
        <v>-114.07321329656074</v>
      </c>
      <c r="AO49" s="110">
        <f t="shared" si="7"/>
        <v>57.723358387507062</v>
      </c>
      <c r="AP49" s="112"/>
      <c r="AQ49" s="112"/>
      <c r="AR49" s="112"/>
      <c r="AS49" s="112"/>
      <c r="AT49" s="112"/>
      <c r="AU49" s="112"/>
    </row>
    <row r="50" spans="4:47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J50" s="107">
        <f t="shared" si="15"/>
        <v>57.723358387507062</v>
      </c>
      <c r="K50" s="107">
        <v>0.02</v>
      </c>
      <c r="L50" s="112"/>
      <c r="M50" s="112"/>
      <c r="N50" s="107">
        <f t="shared" si="19"/>
        <v>1.1544671677501412</v>
      </c>
      <c r="O50" s="107">
        <f t="shared" si="27"/>
        <v>12.681717575977597</v>
      </c>
      <c r="P50" s="112">
        <f t="shared" si="27"/>
        <v>53.996555639562835</v>
      </c>
      <c r="Q50" s="112">
        <f t="shared" si="27"/>
        <v>45.036428502866819</v>
      </c>
      <c r="R50" s="107"/>
      <c r="S50" s="112"/>
      <c r="T50" s="112"/>
      <c r="U50" s="107">
        <f t="shared" si="3"/>
        <v>112.86916888615738</v>
      </c>
      <c r="V50" s="112"/>
      <c r="W50" s="107"/>
      <c r="X50" s="112"/>
      <c r="Y50" s="107"/>
      <c r="Z50" s="112"/>
      <c r="AA50" s="112"/>
      <c r="AB50" s="112"/>
      <c r="AC50" s="112"/>
      <c r="AD50" s="112"/>
      <c r="AE50" s="112"/>
      <c r="AF50" s="112"/>
      <c r="AG50" s="112"/>
      <c r="AH50" s="112"/>
      <c r="AI50" s="109">
        <f t="shared" si="25"/>
        <v>48.95729624917692</v>
      </c>
      <c r="AJ50" s="107">
        <f t="shared" si="25"/>
        <v>182.61673309407726</v>
      </c>
      <c r="AK50" s="112"/>
      <c r="AL50" s="112"/>
      <c r="AM50" s="107">
        <f t="shared" si="6"/>
        <v>231.57402934325418</v>
      </c>
      <c r="AN50" s="110">
        <f t="shared" si="0"/>
        <v>-118.7048604570968</v>
      </c>
      <c r="AO50" s="110">
        <f t="shared" si="7"/>
        <v>-60.981502069589737</v>
      </c>
      <c r="AP50" s="112"/>
      <c r="AQ50" s="112"/>
      <c r="AR50" s="112"/>
      <c r="AS50" s="112"/>
      <c r="AT50" s="112"/>
      <c r="AU50" s="112"/>
    </row>
    <row r="51" spans="4:47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J51" s="107">
        <f t="shared" si="15"/>
        <v>-60.981502069589737</v>
      </c>
      <c r="K51" s="107">
        <v>0.02</v>
      </c>
      <c r="L51" s="112"/>
      <c r="M51" s="112"/>
      <c r="N51" s="107">
        <f t="shared" si="19"/>
        <v>-1.2196300413917949</v>
      </c>
      <c r="O51" s="107">
        <f t="shared" si="27"/>
        <v>12.93535192749715</v>
      </c>
      <c r="P51" s="112">
        <f t="shared" si="27"/>
        <v>55.076486752354093</v>
      </c>
      <c r="Q51" s="112">
        <f t="shared" si="27"/>
        <v>45.937157072924158</v>
      </c>
      <c r="R51" s="107"/>
      <c r="S51" s="112"/>
      <c r="T51" s="112"/>
      <c r="U51" s="107">
        <f t="shared" si="3"/>
        <v>112.72936571138359</v>
      </c>
      <c r="V51" s="112"/>
      <c r="W51" s="107"/>
      <c r="X51" s="112"/>
      <c r="Y51" s="107"/>
      <c r="Z51" s="112"/>
      <c r="AA51" s="112"/>
      <c r="AB51" s="112"/>
      <c r="AC51" s="112"/>
      <c r="AD51" s="112"/>
      <c r="AE51" s="112"/>
      <c r="AF51" s="112"/>
      <c r="AG51" s="112"/>
      <c r="AH51" s="112"/>
      <c r="AI51" s="109">
        <f t="shared" si="25"/>
        <v>49.936442174160462</v>
      </c>
      <c r="AJ51" s="107">
        <f t="shared" si="25"/>
        <v>186.26906775595882</v>
      </c>
      <c r="AK51" s="112"/>
      <c r="AL51" s="112"/>
      <c r="AM51" s="107">
        <f t="shared" si="6"/>
        <v>236.20550993011926</v>
      </c>
      <c r="AN51" s="110">
        <f t="shared" si="0"/>
        <v>-123.47614421873567</v>
      </c>
      <c r="AO51" s="110">
        <f t="shared" si="7"/>
        <v>-184.45764628832541</v>
      </c>
      <c r="AP51" s="112"/>
      <c r="AQ51" s="112"/>
      <c r="AR51" s="112"/>
      <c r="AS51" s="112"/>
      <c r="AT51" s="112"/>
      <c r="AU51" s="112"/>
    </row>
    <row r="52" spans="4:47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J52" s="107">
        <f t="shared" si="15"/>
        <v>-184.45764628832541</v>
      </c>
      <c r="K52" s="107">
        <v>0.02</v>
      </c>
      <c r="L52" s="112"/>
      <c r="M52" s="112"/>
      <c r="N52" s="107">
        <f t="shared" si="19"/>
        <v>-3.6891529257665083</v>
      </c>
      <c r="O52" s="107">
        <f t="shared" si="27"/>
        <v>13.194058966047093</v>
      </c>
      <c r="P52" s="112">
        <f t="shared" si="27"/>
        <v>56.178016487401173</v>
      </c>
      <c r="Q52" s="112">
        <f t="shared" si="27"/>
        <v>46.855900214382643</v>
      </c>
      <c r="R52" s="107"/>
      <c r="S52" s="112"/>
      <c r="T52" s="112"/>
      <c r="U52" s="107">
        <f t="shared" si="3"/>
        <v>112.5388227420644</v>
      </c>
      <c r="V52" s="112"/>
      <c r="W52" s="107"/>
      <c r="X52" s="112"/>
      <c r="Y52" s="107"/>
      <c r="Z52" s="112"/>
      <c r="AA52" s="112"/>
      <c r="AB52" s="112"/>
      <c r="AC52" s="112"/>
      <c r="AD52" s="112"/>
      <c r="AE52" s="112"/>
      <c r="AF52" s="112"/>
      <c r="AG52" s="112"/>
      <c r="AH52" s="112"/>
      <c r="AI52" s="109">
        <f t="shared" si="25"/>
        <v>50.935171017643668</v>
      </c>
      <c r="AJ52" s="107">
        <f t="shared" si="25"/>
        <v>189.99444911107798</v>
      </c>
      <c r="AK52" s="112"/>
      <c r="AL52" s="112"/>
      <c r="AM52" s="107">
        <f t="shared" si="6"/>
        <v>240.92962012872164</v>
      </c>
      <c r="AN52" s="110">
        <f t="shared" si="0"/>
        <v>-128.39079738665725</v>
      </c>
      <c r="AO52" s="110">
        <f t="shared" si="7"/>
        <v>-312.84844367498266</v>
      </c>
      <c r="AP52" s="112"/>
      <c r="AQ52" s="112"/>
      <c r="AR52" s="112"/>
      <c r="AS52" s="112"/>
      <c r="AT52" s="112"/>
      <c r="AU52" s="112"/>
    </row>
    <row r="53" spans="4:47" x14ac:dyDescent="0.3">
      <c r="D53" s="94">
        <v>50</v>
      </c>
      <c r="E53" s="94">
        <v>90</v>
      </c>
      <c r="F53" s="94">
        <v>90</v>
      </c>
      <c r="G53" s="94">
        <v>63</v>
      </c>
      <c r="H53" s="94">
        <v>61</v>
      </c>
      <c r="J53" s="107">
        <f t="shared" si="15"/>
        <v>-312.84844367498266</v>
      </c>
      <c r="K53" s="107">
        <v>0.02</v>
      </c>
      <c r="L53" s="112"/>
      <c r="M53" s="112"/>
      <c r="N53" s="107">
        <f t="shared" si="19"/>
        <v>-6.2569688734996536</v>
      </c>
      <c r="O53" s="107">
        <f t="shared" si="27"/>
        <v>13.457940145368035</v>
      </c>
      <c r="P53" s="112">
        <f t="shared" si="27"/>
        <v>57.301576817149197</v>
      </c>
      <c r="Q53" s="112">
        <f t="shared" si="27"/>
        <v>47.793018218670298</v>
      </c>
      <c r="R53" s="112"/>
      <c r="S53" s="112"/>
      <c r="T53" s="112"/>
      <c r="U53" s="107">
        <f>SUM(L53:T53)</f>
        <v>112.29556630768788</v>
      </c>
      <c r="V53" s="112"/>
      <c r="W53" s="107"/>
      <c r="X53" s="112"/>
      <c r="Y53" s="107"/>
      <c r="Z53" s="112"/>
      <c r="AA53" s="112"/>
      <c r="AB53" s="112"/>
      <c r="AC53" s="112"/>
      <c r="AD53" s="112"/>
      <c r="AE53" s="112"/>
      <c r="AF53" s="112"/>
      <c r="AG53" s="112"/>
      <c r="AH53" s="112"/>
      <c r="AI53" s="109">
        <f t="shared" ref="AI53:AJ53" si="28">AI52*(1+$B$3)</f>
        <v>51.953874437996539</v>
      </c>
      <c r="AJ53" s="107">
        <f t="shared" si="28"/>
        <v>193.79433809329956</v>
      </c>
      <c r="AK53" s="112"/>
      <c r="AL53" s="112"/>
      <c r="AM53" s="107">
        <f t="shared" si="6"/>
        <v>245.7482125312961</v>
      </c>
      <c r="AN53" s="110">
        <f t="shared" si="0"/>
        <v>-133.45264622360821</v>
      </c>
      <c r="AO53" s="110">
        <f t="shared" si="7"/>
        <v>-446.30108989859087</v>
      </c>
      <c r="AP53" s="112"/>
      <c r="AQ53" s="112"/>
      <c r="AR53" s="112"/>
      <c r="AS53" s="112"/>
      <c r="AT53" s="112"/>
      <c r="AU53" s="112"/>
    </row>
  </sheetData>
  <mergeCells count="25">
    <mergeCell ref="N1:N2"/>
    <mergeCell ref="O1:O2"/>
    <mergeCell ref="P1:P2"/>
    <mergeCell ref="D1:D2"/>
    <mergeCell ref="E1:E2"/>
    <mergeCell ref="F1:F2"/>
    <mergeCell ref="G1:G2"/>
    <mergeCell ref="H1:H2"/>
    <mergeCell ref="I1:I2"/>
    <mergeCell ref="A1:B1"/>
    <mergeCell ref="AQ1:AR1"/>
    <mergeCell ref="AS1:AT1"/>
    <mergeCell ref="V1:AK1"/>
    <mergeCell ref="AN1:AN2"/>
    <mergeCell ref="AO1:AO2"/>
    <mergeCell ref="AL1:AL2"/>
    <mergeCell ref="AM1:AM2"/>
    <mergeCell ref="Q1:Q2"/>
    <mergeCell ref="R1:R2"/>
    <mergeCell ref="S1:S2"/>
    <mergeCell ref="T1:T2"/>
    <mergeCell ref="U1:U2"/>
    <mergeCell ref="J1:J2"/>
    <mergeCell ref="K1:K2"/>
    <mergeCell ref="L1:M1"/>
  </mergeCells>
  <phoneticPr fontId="1" type="noConversion"/>
  <conditionalFormatting sqref="AO3:AO1048576">
    <cfRule type="cellIs" dxfId="7" priority="2" operator="lessThan">
      <formula>0</formula>
    </cfRule>
  </conditionalFormatting>
  <conditionalFormatting sqref="AO1">
    <cfRule type="cellIs" dxfId="6" priority="1" operator="lessThan">
      <formula>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E113-AAD2-4F6B-8703-C948066226F6}">
  <dimension ref="A1:AU53"/>
  <sheetViews>
    <sheetView workbookViewId="0">
      <selection sqref="A1:B1"/>
    </sheetView>
  </sheetViews>
  <sheetFormatPr defaultRowHeight="14.5" x14ac:dyDescent="0.3"/>
  <cols>
    <col min="1" max="1" width="23.59765625" bestFit="1" customWidth="1"/>
    <col min="2" max="2" width="7.19921875" customWidth="1"/>
    <col min="4" max="8" width="6.09765625" bestFit="1" customWidth="1"/>
    <col min="9" max="9" width="36.59765625" bestFit="1" customWidth="1"/>
    <col min="10" max="10" width="10.5" customWidth="1"/>
    <col min="11" max="22" width="8.19921875" customWidth="1"/>
    <col min="23" max="23" width="6" customWidth="1"/>
    <col min="24" max="24" width="10.5" customWidth="1"/>
    <col min="25" max="25" width="6" customWidth="1"/>
    <col min="26" max="26" width="10.5" customWidth="1"/>
    <col min="27" max="28" width="6" customWidth="1"/>
    <col min="29" max="35" width="6.09765625" bestFit="1" customWidth="1"/>
    <col min="36" max="36" width="10.59765625" bestFit="1" customWidth="1"/>
    <col min="37" max="37" width="9.296875" customWidth="1"/>
    <col min="38" max="38" width="8.19921875" customWidth="1"/>
    <col min="39" max="39" width="7.09765625" bestFit="1" customWidth="1"/>
    <col min="40" max="40" width="7" style="2" bestFit="1" customWidth="1"/>
    <col min="41" max="41" width="10.59765625" bestFit="1" customWidth="1"/>
    <col min="43" max="45" width="8.8984375" bestFit="1" customWidth="1"/>
    <col min="46" max="46" width="10.09765625" customWidth="1"/>
    <col min="47" max="47" width="18" customWidth="1"/>
  </cols>
  <sheetData>
    <row r="1" spans="1:47" ht="14.5" customHeight="1" x14ac:dyDescent="0.3">
      <c r="A1" s="196" t="s">
        <v>347</v>
      </c>
      <c r="B1" s="196"/>
      <c r="C1" s="40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L1" s="196" t="s">
        <v>298</v>
      </c>
      <c r="M1" s="196"/>
      <c r="N1" s="187" t="s">
        <v>299</v>
      </c>
      <c r="O1" s="187" t="s">
        <v>300</v>
      </c>
      <c r="P1" s="209" t="s">
        <v>396</v>
      </c>
      <c r="Q1" s="187" t="s">
        <v>301</v>
      </c>
      <c r="R1" s="187" t="s">
        <v>302</v>
      </c>
      <c r="S1" s="187" t="s">
        <v>303</v>
      </c>
      <c r="T1" s="187" t="s">
        <v>304</v>
      </c>
      <c r="U1" s="187" t="s">
        <v>305</v>
      </c>
      <c r="V1" s="189" t="s">
        <v>306</v>
      </c>
      <c r="W1" s="196" t="s">
        <v>307</v>
      </c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204" t="s">
        <v>154</v>
      </c>
      <c r="AM1" s="189" t="s">
        <v>308</v>
      </c>
      <c r="AN1" s="189" t="s">
        <v>309</v>
      </c>
      <c r="AO1" s="189" t="s">
        <v>310</v>
      </c>
      <c r="AP1" s="40"/>
      <c r="AQ1" s="203" t="s">
        <v>140</v>
      </c>
      <c r="AR1" s="203"/>
      <c r="AS1" s="203" t="s">
        <v>141</v>
      </c>
      <c r="AT1" s="203"/>
      <c r="AU1" s="131" t="s">
        <v>153</v>
      </c>
    </row>
    <row r="2" spans="1:47" x14ac:dyDescent="0.3">
      <c r="A2" s="100" t="s">
        <v>205</v>
      </c>
      <c r="B2" s="101" t="s">
        <v>349</v>
      </c>
      <c r="C2" s="40"/>
      <c r="D2" s="192"/>
      <c r="E2" s="192"/>
      <c r="F2" s="192"/>
      <c r="G2" s="192"/>
      <c r="H2" s="192"/>
      <c r="I2" s="192"/>
      <c r="J2" s="190"/>
      <c r="L2" s="91" t="s">
        <v>315</v>
      </c>
      <c r="M2" s="91" t="s">
        <v>316</v>
      </c>
      <c r="N2" s="188"/>
      <c r="O2" s="188"/>
      <c r="P2" s="210"/>
      <c r="Q2" s="188"/>
      <c r="R2" s="188"/>
      <c r="S2" s="188"/>
      <c r="T2" s="188"/>
      <c r="U2" s="188"/>
      <c r="V2" s="190"/>
      <c r="W2" s="91" t="s">
        <v>317</v>
      </c>
      <c r="X2" s="91" t="s">
        <v>318</v>
      </c>
      <c r="Y2" s="91" t="s">
        <v>319</v>
      </c>
      <c r="Z2" s="91" t="s">
        <v>320</v>
      </c>
      <c r="AA2" s="91" t="s">
        <v>321</v>
      </c>
      <c r="AB2" s="91" t="s">
        <v>322</v>
      </c>
      <c r="AC2" s="91" t="s">
        <v>323</v>
      </c>
      <c r="AD2" s="91" t="s">
        <v>324</v>
      </c>
      <c r="AE2" s="91" t="s">
        <v>325</v>
      </c>
      <c r="AF2" s="91" t="s">
        <v>326</v>
      </c>
      <c r="AG2" s="91" t="s">
        <v>327</v>
      </c>
      <c r="AH2" s="91" t="s">
        <v>328</v>
      </c>
      <c r="AI2" s="91" t="s">
        <v>329</v>
      </c>
      <c r="AJ2" s="91" t="s">
        <v>330</v>
      </c>
      <c r="AK2" s="91" t="s">
        <v>331</v>
      </c>
      <c r="AL2" s="205"/>
      <c r="AM2" s="190"/>
      <c r="AN2" s="190"/>
      <c r="AO2" s="190"/>
      <c r="AP2" s="40"/>
      <c r="AQ2" s="87" t="s">
        <v>138</v>
      </c>
      <c r="AR2" s="87" t="s">
        <v>139</v>
      </c>
      <c r="AS2" s="87" t="s">
        <v>138</v>
      </c>
      <c r="AT2" s="87" t="s">
        <v>139</v>
      </c>
      <c r="AU2" s="87" t="s">
        <v>138</v>
      </c>
    </row>
    <row r="3" spans="1:47" x14ac:dyDescent="0.3">
      <c r="A3" s="88" t="s">
        <v>332</v>
      </c>
      <c r="B3" s="102">
        <v>0.02</v>
      </c>
      <c r="C3" s="40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88"/>
      <c r="J3" s="107"/>
      <c r="K3" s="107"/>
      <c r="L3" s="107">
        <v>54</v>
      </c>
      <c r="M3" s="107">
        <v>84</v>
      </c>
      <c r="N3" s="107">
        <v>2</v>
      </c>
      <c r="O3" s="107">
        <v>5</v>
      </c>
      <c r="P3" s="107"/>
      <c r="Q3" s="107"/>
      <c r="R3" s="107"/>
      <c r="S3" s="107"/>
      <c r="T3" s="107"/>
      <c r="U3" s="107"/>
      <c r="V3" s="107">
        <f>SUM(L3:U3)</f>
        <v>145</v>
      </c>
      <c r="W3" s="107">
        <v>38.4</v>
      </c>
      <c r="X3" s="107">
        <v>5</v>
      </c>
      <c r="Y3" s="107">
        <v>12</v>
      </c>
      <c r="Z3" s="107">
        <v>3</v>
      </c>
      <c r="AA3" s="107">
        <v>22.8</v>
      </c>
      <c r="AB3" s="107">
        <v>4.08</v>
      </c>
      <c r="AC3" s="107">
        <v>4.5</v>
      </c>
      <c r="AD3" s="107">
        <v>13.6</v>
      </c>
      <c r="AE3" s="107">
        <v>4.88</v>
      </c>
      <c r="AF3" s="107">
        <v>3.8</v>
      </c>
      <c r="AG3" s="107">
        <v>13</v>
      </c>
      <c r="AH3" s="107">
        <v>12</v>
      </c>
      <c r="AI3" s="107">
        <v>6.2</v>
      </c>
      <c r="AJ3" s="107"/>
      <c r="AK3" s="107"/>
      <c r="AL3" s="107"/>
      <c r="AM3" s="107">
        <f>SUM(W3:AL3)</f>
        <v>143.26</v>
      </c>
      <c r="AN3" s="110">
        <f t="shared" ref="AN3:AN53" si="0">V3-AM3</f>
        <v>1.7400000000000091</v>
      </c>
      <c r="AO3" s="110">
        <v>55</v>
      </c>
      <c r="AP3" s="107"/>
      <c r="AQ3" s="112"/>
      <c r="AR3" s="112"/>
      <c r="AS3" s="112">
        <v>90</v>
      </c>
      <c r="AT3" s="112">
        <v>90</v>
      </c>
      <c r="AU3" s="112">
        <v>50</v>
      </c>
    </row>
    <row r="4" spans="1:47" x14ac:dyDescent="0.3">
      <c r="A4" s="88" t="s">
        <v>333</v>
      </c>
      <c r="B4" s="102">
        <v>0.02</v>
      </c>
      <c r="C4" s="40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88"/>
      <c r="J4" s="107">
        <f>AO3</f>
        <v>55</v>
      </c>
      <c r="K4" s="107">
        <v>0.04</v>
      </c>
      <c r="L4" s="107">
        <f t="shared" ref="L4:L27" si="1">L3*(1+$B$4)</f>
        <v>55.08</v>
      </c>
      <c r="M4" s="107">
        <f t="shared" ref="M4:M27" si="2">M3*(1+$B$5)</f>
        <v>84.84</v>
      </c>
      <c r="N4" s="107">
        <f>J4*K4</f>
        <v>2.2000000000000002</v>
      </c>
      <c r="O4" s="107">
        <f>O3*(1+$B$3)</f>
        <v>5.0999999999999996</v>
      </c>
      <c r="P4" s="107"/>
      <c r="Q4" s="107"/>
      <c r="R4" s="107"/>
      <c r="S4" s="107"/>
      <c r="T4" s="107"/>
      <c r="U4" s="107"/>
      <c r="V4" s="107">
        <f t="shared" ref="V4:V52" si="3">SUM(L4:U4)</f>
        <v>147.22</v>
      </c>
      <c r="W4" s="107">
        <v>38.4</v>
      </c>
      <c r="X4" s="107">
        <f>X3*(1+$B$3)</f>
        <v>5.0999999999999996</v>
      </c>
      <c r="Y4" s="107">
        <v>12</v>
      </c>
      <c r="Z4" s="107">
        <f>Z3*(1+$B$3)</f>
        <v>3.06</v>
      </c>
      <c r="AA4" s="107">
        <f t="shared" ref="Z4:AA8" si="4">AA3*(1+$B$3)</f>
        <v>23.256</v>
      </c>
      <c r="AB4" s="107">
        <v>4.08</v>
      </c>
      <c r="AC4" s="107">
        <v>4.7</v>
      </c>
      <c r="AD4" s="107">
        <v>13.6</v>
      </c>
      <c r="AE4" s="107">
        <f>AE3*(1+$B$3)</f>
        <v>4.9775999999999998</v>
      </c>
      <c r="AF4" s="107">
        <f t="shared" ref="AE4:AG19" si="5">AF3*(1+$B$3)</f>
        <v>3.8759999999999999</v>
      </c>
      <c r="AG4" s="107">
        <f>AG3*(1+$B$3)</f>
        <v>13.26</v>
      </c>
      <c r="AH4" s="107">
        <v>12</v>
      </c>
      <c r="AI4" s="107">
        <f>AI3*(1+$B$3)</f>
        <v>6.3240000000000007</v>
      </c>
      <c r="AJ4" s="107"/>
      <c r="AK4" s="176"/>
      <c r="AL4" s="176">
        <v>-5</v>
      </c>
      <c r="AM4" s="107">
        <f t="shared" ref="AM4:AM53" si="6">SUM(W4:AL4)</f>
        <v>139.6336</v>
      </c>
      <c r="AN4" s="110">
        <f t="shared" si="0"/>
        <v>7.5863999999999976</v>
      </c>
      <c r="AO4" s="110">
        <f t="shared" ref="AO4:AO53" si="7">J4+AN4</f>
        <v>62.586399999999998</v>
      </c>
      <c r="AP4" s="107"/>
      <c r="AQ4" s="112">
        <f t="shared" ref="AQ4:AQ27" si="8">L4*0.06</f>
        <v>3.3047999999999997</v>
      </c>
      <c r="AR4" s="112">
        <f>3.82*12*0.06</f>
        <v>2.7503999999999995</v>
      </c>
      <c r="AS4" s="112">
        <f t="shared" ref="AS4:AS27" si="9">AS3*(1+$B$6)+AQ4</f>
        <v>96.904800000000009</v>
      </c>
      <c r="AT4" s="112">
        <f t="shared" ref="AT4:AT27" si="10">AT3*(1+$B$6)+AR4</f>
        <v>96.350400000000008</v>
      </c>
      <c r="AU4" s="112">
        <f t="shared" ref="AU4:AU13" si="11">AU3*(1+$B$7) + 6</f>
        <v>58</v>
      </c>
    </row>
    <row r="5" spans="1:47" x14ac:dyDescent="0.3">
      <c r="A5" s="88" t="s">
        <v>334</v>
      </c>
      <c r="B5" s="102">
        <v>0.01</v>
      </c>
      <c r="C5" s="40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88"/>
      <c r="J5" s="107">
        <f>AO4</f>
        <v>62.586399999999998</v>
      </c>
      <c r="K5" s="107">
        <v>0.04</v>
      </c>
      <c r="L5" s="107">
        <f t="shared" si="1"/>
        <v>56.181599999999996</v>
      </c>
      <c r="M5" s="107">
        <f t="shared" si="2"/>
        <v>85.688400000000001</v>
      </c>
      <c r="N5" s="107">
        <f>J5*K5</f>
        <v>2.5034559999999999</v>
      </c>
      <c r="O5" s="107">
        <f t="shared" ref="O5:R30" si="12">O4*(1+$B$3)</f>
        <v>5.202</v>
      </c>
      <c r="P5" s="107"/>
      <c r="Q5" s="107"/>
      <c r="R5" s="107"/>
      <c r="S5" s="107"/>
      <c r="T5" s="107"/>
      <c r="U5" s="107"/>
      <c r="V5" s="107">
        <f t="shared" si="3"/>
        <v>149.575456</v>
      </c>
      <c r="W5" s="107">
        <v>38.4</v>
      </c>
      <c r="X5" s="107">
        <f>X4*(1+$B$3)</f>
        <v>5.202</v>
      </c>
      <c r="Y5" s="107">
        <v>12</v>
      </c>
      <c r="Z5" s="107">
        <f t="shared" si="4"/>
        <v>3.1212</v>
      </c>
      <c r="AA5" s="107">
        <f t="shared" si="4"/>
        <v>23.721119999999999</v>
      </c>
      <c r="AB5" s="107">
        <v>4.08</v>
      </c>
      <c r="AC5" s="107">
        <v>4.9000000000000004</v>
      </c>
      <c r="AD5" s="107">
        <v>13.6</v>
      </c>
      <c r="AE5" s="107">
        <f t="shared" si="5"/>
        <v>5.0771519999999999</v>
      </c>
      <c r="AF5" s="107">
        <f t="shared" si="5"/>
        <v>3.9535200000000001</v>
      </c>
      <c r="AG5" s="107">
        <f t="shared" si="5"/>
        <v>13.5252</v>
      </c>
      <c r="AH5" s="107">
        <v>12</v>
      </c>
      <c r="AI5" s="107">
        <f t="shared" ref="AI5:AI23" si="13">AI4*(1+$B$3)</f>
        <v>6.4504800000000007</v>
      </c>
      <c r="AJ5" s="107"/>
      <c r="AK5" s="176"/>
      <c r="AL5" s="176">
        <v>-5</v>
      </c>
      <c r="AM5" s="107">
        <f t="shared" si="6"/>
        <v>141.03067200000001</v>
      </c>
      <c r="AN5" s="110">
        <f t="shared" si="0"/>
        <v>8.5447839999999928</v>
      </c>
      <c r="AO5" s="110">
        <f t="shared" si="7"/>
        <v>71.13118399999999</v>
      </c>
      <c r="AP5" s="107"/>
      <c r="AQ5" s="112">
        <f t="shared" si="8"/>
        <v>3.3708959999999997</v>
      </c>
      <c r="AR5" s="112">
        <f t="shared" ref="AR5:AR27" si="14">3.82*12*0.06</f>
        <v>2.7503999999999995</v>
      </c>
      <c r="AS5" s="112">
        <f t="shared" si="9"/>
        <v>104.15188800000001</v>
      </c>
      <c r="AT5" s="112">
        <f t="shared" si="10"/>
        <v>102.95481600000001</v>
      </c>
      <c r="AU5" s="112">
        <f t="shared" si="11"/>
        <v>66.319999999999993</v>
      </c>
    </row>
    <row r="6" spans="1:47" x14ac:dyDescent="0.3">
      <c r="A6" s="88" t="s">
        <v>335</v>
      </c>
      <c r="B6" s="102">
        <v>0.04</v>
      </c>
      <c r="C6" s="40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88"/>
      <c r="J6" s="107">
        <f>AO5</f>
        <v>71.13118399999999</v>
      </c>
      <c r="K6" s="107">
        <v>0.04</v>
      </c>
      <c r="L6" s="107">
        <f t="shared" si="1"/>
        <v>57.305231999999997</v>
      </c>
      <c r="M6" s="107">
        <f t="shared" si="2"/>
        <v>86.545283999999995</v>
      </c>
      <c r="N6" s="107">
        <f>J6*K6</f>
        <v>2.8452473599999997</v>
      </c>
      <c r="O6" s="107">
        <f t="shared" si="12"/>
        <v>5.3060400000000003</v>
      </c>
      <c r="P6" s="107"/>
      <c r="Q6" s="107"/>
      <c r="R6" s="107"/>
      <c r="S6" s="107"/>
      <c r="T6" s="107"/>
      <c r="U6" s="107"/>
      <c r="V6" s="107">
        <f t="shared" si="3"/>
        <v>152.00180336</v>
      </c>
      <c r="W6" s="107">
        <v>38.4</v>
      </c>
      <c r="X6" s="107">
        <f>X5*(1+$B$3)</f>
        <v>5.3060400000000003</v>
      </c>
      <c r="Y6" s="107">
        <v>12</v>
      </c>
      <c r="Z6" s="107">
        <f t="shared" si="4"/>
        <v>3.183624</v>
      </c>
      <c r="AA6" s="107">
        <f t="shared" si="4"/>
        <v>24.195542400000001</v>
      </c>
      <c r="AB6" s="107">
        <v>4.08</v>
      </c>
      <c r="AC6" s="107">
        <v>5.3</v>
      </c>
      <c r="AD6" s="107">
        <v>13.6</v>
      </c>
      <c r="AE6" s="107">
        <f t="shared" si="5"/>
        <v>5.17869504</v>
      </c>
      <c r="AF6" s="107">
        <f t="shared" si="5"/>
        <v>4.0325904000000001</v>
      </c>
      <c r="AG6" s="107">
        <f t="shared" si="5"/>
        <v>13.795704000000001</v>
      </c>
      <c r="AH6" s="107">
        <v>12</v>
      </c>
      <c r="AI6" s="107">
        <f t="shared" si="13"/>
        <v>6.5794896000000005</v>
      </c>
      <c r="AJ6" s="107"/>
      <c r="AK6" s="176"/>
      <c r="AL6" s="176">
        <v>-5</v>
      </c>
      <c r="AM6" s="107">
        <f t="shared" si="6"/>
        <v>142.65168543999999</v>
      </c>
      <c r="AN6" s="110">
        <f t="shared" si="0"/>
        <v>9.3501179200000024</v>
      </c>
      <c r="AO6" s="110">
        <f t="shared" si="7"/>
        <v>80.481301919999993</v>
      </c>
      <c r="AP6" s="107"/>
      <c r="AQ6" s="112">
        <f t="shared" si="8"/>
        <v>3.4383139199999997</v>
      </c>
      <c r="AR6" s="112">
        <f t="shared" si="14"/>
        <v>2.7503999999999995</v>
      </c>
      <c r="AS6" s="112">
        <f t="shared" si="9"/>
        <v>111.75627744000002</v>
      </c>
      <c r="AT6" s="112">
        <f t="shared" si="10"/>
        <v>109.82340864000001</v>
      </c>
      <c r="AU6" s="112">
        <f t="shared" si="11"/>
        <v>74.972799999999992</v>
      </c>
    </row>
    <row r="7" spans="1:47" x14ac:dyDescent="0.3">
      <c r="A7" s="95" t="s">
        <v>336</v>
      </c>
      <c r="B7" s="103">
        <v>0.04</v>
      </c>
      <c r="C7" s="40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88" t="s">
        <v>337</v>
      </c>
      <c r="J7" s="107">
        <f>AO6</f>
        <v>80.481301919999993</v>
      </c>
      <c r="K7" s="107">
        <v>0.04</v>
      </c>
      <c r="L7" s="107">
        <f t="shared" si="1"/>
        <v>58.451336640000001</v>
      </c>
      <c r="M7" s="107">
        <f t="shared" si="2"/>
        <v>87.410736839999998</v>
      </c>
      <c r="N7" s="107">
        <f>J7*K7</f>
        <v>3.2192520767999997</v>
      </c>
      <c r="O7" s="107">
        <f t="shared" si="12"/>
        <v>5.4121608000000005</v>
      </c>
      <c r="P7" s="107"/>
      <c r="Q7" s="107"/>
      <c r="R7" s="107"/>
      <c r="S7" s="107"/>
      <c r="T7" s="107"/>
      <c r="U7" s="107"/>
      <c r="V7" s="107">
        <f t="shared" si="3"/>
        <v>154.49348635679999</v>
      </c>
      <c r="W7" s="107">
        <v>38.4</v>
      </c>
      <c r="X7" s="107">
        <f>X6*(1+$B$3)</f>
        <v>5.4121608000000005</v>
      </c>
      <c r="Y7" s="107">
        <v>12</v>
      </c>
      <c r="Z7" s="107">
        <f t="shared" si="4"/>
        <v>3.2472964800000002</v>
      </c>
      <c r="AA7" s="107">
        <f t="shared" si="4"/>
        <v>24.679453248000002</v>
      </c>
      <c r="AB7" s="107">
        <v>4.08</v>
      </c>
      <c r="AC7" s="107">
        <v>5.5</v>
      </c>
      <c r="AD7" s="107">
        <v>13.6</v>
      </c>
      <c r="AE7" s="107">
        <f t="shared" si="5"/>
        <v>5.2822689407999999</v>
      </c>
      <c r="AF7" s="107">
        <f t="shared" si="5"/>
        <v>4.113242208</v>
      </c>
      <c r="AG7" s="107">
        <f t="shared" si="5"/>
        <v>14.07161808</v>
      </c>
      <c r="AH7" s="107">
        <v>12</v>
      </c>
      <c r="AI7" s="107">
        <f t="shared" si="13"/>
        <v>6.7110793920000003</v>
      </c>
      <c r="AJ7" s="107"/>
      <c r="AK7" s="117">
        <f>理財目標費用終值!D16</f>
        <v>21.648643199999999</v>
      </c>
      <c r="AL7" s="176">
        <v>-5</v>
      </c>
      <c r="AM7" s="107">
        <f t="shared" si="6"/>
        <v>165.74576234879999</v>
      </c>
      <c r="AN7" s="110">
        <f t="shared" si="0"/>
        <v>-11.252275991999994</v>
      </c>
      <c r="AO7" s="110">
        <f t="shared" si="7"/>
        <v>69.229025927999999</v>
      </c>
      <c r="AP7" s="107"/>
      <c r="AQ7" s="112">
        <f t="shared" si="8"/>
        <v>3.5070801983999997</v>
      </c>
      <c r="AR7" s="112">
        <f t="shared" si="14"/>
        <v>2.7503999999999995</v>
      </c>
      <c r="AS7" s="112">
        <f t="shared" si="9"/>
        <v>119.73360873600002</v>
      </c>
      <c r="AT7" s="112">
        <f t="shared" si="10"/>
        <v>116.96674498560002</v>
      </c>
      <c r="AU7" s="112">
        <f t="shared" si="11"/>
        <v>83.971711999999997</v>
      </c>
    </row>
    <row r="8" spans="1:47" x14ac:dyDescent="0.3">
      <c r="A8" s="40"/>
      <c r="C8" s="40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88" t="s">
        <v>338</v>
      </c>
      <c r="J8" s="107">
        <f>AO7</f>
        <v>69.229025927999999</v>
      </c>
      <c r="K8" s="107">
        <v>0.04</v>
      </c>
      <c r="L8" s="107">
        <f t="shared" si="1"/>
        <v>59.6203633728</v>
      </c>
      <c r="M8" s="107">
        <f t="shared" si="2"/>
        <v>88.284844208400003</v>
      </c>
      <c r="N8" s="107">
        <f>J8*K8</f>
        <v>2.7691610371199999</v>
      </c>
      <c r="O8" s="107">
        <f t="shared" si="12"/>
        <v>5.5204040160000005</v>
      </c>
      <c r="P8" s="107"/>
      <c r="Q8" s="107"/>
      <c r="R8" s="107"/>
      <c r="S8" s="107"/>
      <c r="T8" s="107"/>
      <c r="U8" s="107"/>
      <c r="V8" s="107">
        <f t="shared" si="3"/>
        <v>156.19477263431997</v>
      </c>
      <c r="W8" s="107">
        <v>38.4</v>
      </c>
      <c r="X8" s="107">
        <f>X7*(1+$B$3)</f>
        <v>5.5204040160000005</v>
      </c>
      <c r="Y8" s="107"/>
      <c r="Z8" s="107">
        <f t="shared" si="4"/>
        <v>3.3122424096</v>
      </c>
      <c r="AA8" s="107">
        <f>AA7*(1+$B$3)*(3/4)</f>
        <v>18.879781734720002</v>
      </c>
      <c r="AB8" s="107">
        <v>4.08</v>
      </c>
      <c r="AC8" s="107">
        <v>5.3</v>
      </c>
      <c r="AD8" s="107">
        <v>13.6</v>
      </c>
      <c r="AE8" s="107">
        <f t="shared" si="5"/>
        <v>5.3879143196159998</v>
      </c>
      <c r="AF8" s="107">
        <f t="shared" si="5"/>
        <v>4.19550705216</v>
      </c>
      <c r="AG8" s="107">
        <f>AG7*(1+$B$3)*0.5</f>
        <v>7.1765252208000003</v>
      </c>
      <c r="AH8" s="107">
        <v>12</v>
      </c>
      <c r="AI8" s="107">
        <f t="shared" si="13"/>
        <v>6.8453009798400002</v>
      </c>
      <c r="AJ8" s="107"/>
      <c r="AK8" s="117">
        <f>理財目標費用終值!D3</f>
        <v>27.602020079999999</v>
      </c>
      <c r="AL8" s="176">
        <v>-5</v>
      </c>
      <c r="AM8" s="107">
        <f t="shared" si="6"/>
        <v>147.29969581273599</v>
      </c>
      <c r="AN8" s="110">
        <f t="shared" si="0"/>
        <v>8.8950768215839844</v>
      </c>
      <c r="AO8" s="110">
        <f t="shared" si="7"/>
        <v>78.124102749583983</v>
      </c>
      <c r="AP8" s="107"/>
      <c r="AQ8" s="112">
        <f t="shared" si="8"/>
        <v>3.5772218023679998</v>
      </c>
      <c r="AR8" s="112">
        <f t="shared" si="14"/>
        <v>2.7503999999999995</v>
      </c>
      <c r="AS8" s="112">
        <f t="shared" si="9"/>
        <v>128.10017488780801</v>
      </c>
      <c r="AT8" s="112">
        <f t="shared" si="10"/>
        <v>124.39581478502402</v>
      </c>
      <c r="AU8" s="112">
        <f t="shared" si="11"/>
        <v>93.330580479999995</v>
      </c>
    </row>
    <row r="9" spans="1:47" x14ac:dyDescent="0.3">
      <c r="A9" s="40"/>
      <c r="B9" s="54"/>
      <c r="C9" s="40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88" t="s">
        <v>339</v>
      </c>
      <c r="J9" s="107">
        <f t="shared" ref="J9:J53" si="15">AO8</f>
        <v>78.124102749583983</v>
      </c>
      <c r="K9" s="107">
        <v>0.04</v>
      </c>
      <c r="L9" s="107">
        <f t="shared" si="1"/>
        <v>60.812770640255998</v>
      </c>
      <c r="M9" s="107">
        <f t="shared" si="2"/>
        <v>89.167692650484</v>
      </c>
      <c r="N9" s="107">
        <v>3</v>
      </c>
      <c r="O9" s="107">
        <f t="shared" si="12"/>
        <v>5.6308120963200006</v>
      </c>
      <c r="P9" s="107"/>
      <c r="Q9" s="107"/>
      <c r="R9" s="107"/>
      <c r="S9" s="107"/>
      <c r="T9" s="107"/>
      <c r="U9" s="107"/>
      <c r="V9" s="107">
        <f t="shared" si="3"/>
        <v>158.61127538706</v>
      </c>
      <c r="W9" s="107">
        <v>38.4</v>
      </c>
      <c r="X9" s="107">
        <v>6</v>
      </c>
      <c r="Y9" s="107"/>
      <c r="Z9" s="107">
        <v>4</v>
      </c>
      <c r="AA9" s="107">
        <f>AA8*(1+$B$3)</f>
        <v>19.257377369414403</v>
      </c>
      <c r="AB9" s="107">
        <v>4.08</v>
      </c>
      <c r="AC9" s="107">
        <v>5.6</v>
      </c>
      <c r="AD9" s="107">
        <v>13.6</v>
      </c>
      <c r="AE9" s="107">
        <f t="shared" si="5"/>
        <v>5.4956726060083199</v>
      </c>
      <c r="AF9" s="107">
        <f>AF8*(1+$B$3)</f>
        <v>4.2794171932031997</v>
      </c>
      <c r="AG9" s="107">
        <f>AG8*(1+$B$3)</f>
        <v>7.3200557252160001</v>
      </c>
      <c r="AH9" s="107">
        <v>12</v>
      </c>
      <c r="AI9" s="107">
        <f t="shared" si="13"/>
        <v>6.9822069994368006</v>
      </c>
      <c r="AJ9" s="107"/>
      <c r="AK9" s="117">
        <f>理財目標費用終值!D4</f>
        <v>28.154060481600002</v>
      </c>
      <c r="AL9" s="176">
        <v>-5</v>
      </c>
      <c r="AM9" s="107">
        <f t="shared" si="6"/>
        <v>150.16879037487871</v>
      </c>
      <c r="AN9" s="110">
        <f t="shared" si="0"/>
        <v>8.4424850121812938</v>
      </c>
      <c r="AO9" s="110">
        <f t="shared" si="7"/>
        <v>86.566587761765277</v>
      </c>
      <c r="AP9" s="107"/>
      <c r="AQ9" s="112">
        <f t="shared" si="8"/>
        <v>3.6487662384153596</v>
      </c>
      <c r="AR9" s="112">
        <f t="shared" si="14"/>
        <v>2.7503999999999995</v>
      </c>
      <c r="AS9" s="112">
        <f t="shared" si="9"/>
        <v>136.8729481217357</v>
      </c>
      <c r="AT9" s="112">
        <f t="shared" si="10"/>
        <v>132.122047376425</v>
      </c>
      <c r="AU9" s="112">
        <f t="shared" si="11"/>
        <v>103.06380369919999</v>
      </c>
    </row>
    <row r="10" spans="1:47" x14ac:dyDescent="0.3">
      <c r="A10" s="40"/>
      <c r="B10" s="54"/>
      <c r="C10" s="40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88" t="s">
        <v>340</v>
      </c>
      <c r="J10" s="107">
        <f t="shared" si="15"/>
        <v>86.566587761765277</v>
      </c>
      <c r="K10" s="107">
        <v>0.04</v>
      </c>
      <c r="L10" s="107">
        <f t="shared" si="1"/>
        <v>62.029026053061116</v>
      </c>
      <c r="M10" s="107">
        <f t="shared" si="2"/>
        <v>90.059369576988843</v>
      </c>
      <c r="N10" s="107">
        <f>J10*K10</f>
        <v>3.4626635104706112</v>
      </c>
      <c r="O10" s="107">
        <f t="shared" si="12"/>
        <v>5.7434283382464004</v>
      </c>
      <c r="P10" s="107"/>
      <c r="Q10" s="107"/>
      <c r="R10" s="107"/>
      <c r="S10" s="107"/>
      <c r="T10" s="107"/>
      <c r="U10" s="107"/>
      <c r="V10" s="107">
        <f t="shared" si="3"/>
        <v>161.29448747876694</v>
      </c>
      <c r="W10" s="107">
        <v>38.4</v>
      </c>
      <c r="X10" s="107">
        <f t="shared" ref="X10:X26" si="16">X9*(1+$B$3)</f>
        <v>6.12</v>
      </c>
      <c r="Y10" s="107"/>
      <c r="Z10" s="107">
        <f>Z9*(1+$B$3)</f>
        <v>4.08</v>
      </c>
      <c r="AA10" s="107">
        <f>AA9*(1+$B$3)*(2/3)</f>
        <v>13.095016611201794</v>
      </c>
      <c r="AB10" s="107">
        <v>4.08</v>
      </c>
      <c r="AC10" s="107">
        <v>5.0999999999999996</v>
      </c>
      <c r="AD10" s="107">
        <v>13.6</v>
      </c>
      <c r="AE10" s="107">
        <f t="shared" si="5"/>
        <v>5.6055860581284866</v>
      </c>
      <c r="AF10" s="107">
        <f t="shared" si="5"/>
        <v>4.3650055370672636</v>
      </c>
      <c r="AG10" s="107"/>
      <c r="AH10" s="107">
        <v>12</v>
      </c>
      <c r="AI10" s="107">
        <f t="shared" si="13"/>
        <v>7.1218511394255364</v>
      </c>
      <c r="AJ10" s="107"/>
      <c r="AK10" s="117">
        <f>理財目標費用終值!D5+理財目標費用終值!D8</f>
        <v>57.434283382463988</v>
      </c>
      <c r="AL10" s="176">
        <v>-5</v>
      </c>
      <c r="AM10" s="107">
        <f t="shared" si="6"/>
        <v>166.00174272828704</v>
      </c>
      <c r="AN10" s="110">
        <f t="shared" si="0"/>
        <v>-4.7072552495201023</v>
      </c>
      <c r="AO10" s="110">
        <f t="shared" si="7"/>
        <v>81.859332512245174</v>
      </c>
      <c r="AP10" s="107"/>
      <c r="AQ10" s="112">
        <f t="shared" si="8"/>
        <v>3.721741563183667</v>
      </c>
      <c r="AR10" s="112">
        <f t="shared" si="14"/>
        <v>2.7503999999999995</v>
      </c>
      <c r="AS10" s="112">
        <f t="shared" si="9"/>
        <v>146.06960760978879</v>
      </c>
      <c r="AT10" s="112">
        <f t="shared" si="10"/>
        <v>140.15732927148201</v>
      </c>
      <c r="AU10" s="112">
        <f t="shared" si="11"/>
        <v>113.186355847168</v>
      </c>
    </row>
    <row r="11" spans="1:47" x14ac:dyDescent="0.3">
      <c r="A11" s="40"/>
      <c r="B11" s="54"/>
      <c r="C11" s="40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88" t="s">
        <v>341</v>
      </c>
      <c r="J11" s="107">
        <f t="shared" si="15"/>
        <v>81.859332512245174</v>
      </c>
      <c r="K11" s="107">
        <v>0.04</v>
      </c>
      <c r="L11" s="107">
        <f t="shared" si="1"/>
        <v>63.269606574122342</v>
      </c>
      <c r="M11" s="107">
        <f t="shared" si="2"/>
        <v>90.959963272758728</v>
      </c>
      <c r="N11" s="107">
        <f>J11*K11</f>
        <v>3.274373300489807</v>
      </c>
      <c r="O11" s="107">
        <f t="shared" si="12"/>
        <v>5.8582969050113283</v>
      </c>
      <c r="P11" s="107"/>
      <c r="Q11" s="107"/>
      <c r="R11" s="107"/>
      <c r="S11" s="107"/>
      <c r="T11" s="107"/>
      <c r="U11" s="107"/>
      <c r="V11" s="107">
        <f t="shared" si="3"/>
        <v>163.36224005238219</v>
      </c>
      <c r="W11" s="107">
        <v>38.4</v>
      </c>
      <c r="X11" s="107">
        <f t="shared" si="16"/>
        <v>6.2423999999999999</v>
      </c>
      <c r="Y11" s="107"/>
      <c r="Z11" s="107">
        <f>Z10*(1+$B$3)</f>
        <v>4.1616</v>
      </c>
      <c r="AA11" s="107">
        <f>AA10*(1+$B$3)</f>
        <v>13.35691694342583</v>
      </c>
      <c r="AB11" s="107">
        <v>4.08</v>
      </c>
      <c r="AC11" s="107">
        <v>5.8</v>
      </c>
      <c r="AD11" s="107">
        <v>13.6</v>
      </c>
      <c r="AE11" s="107">
        <f t="shared" si="5"/>
        <v>5.7176977792910568</v>
      </c>
      <c r="AF11" s="107">
        <f t="shared" si="5"/>
        <v>4.4523056478086085</v>
      </c>
      <c r="AG11" s="107"/>
      <c r="AH11" s="107">
        <v>12</v>
      </c>
      <c r="AI11" s="107">
        <f t="shared" si="13"/>
        <v>7.2642881622140472</v>
      </c>
      <c r="AJ11" s="107"/>
      <c r="AK11" s="117">
        <f>理財目標費用終值!D6+理財目標費用終值!D9+理財目標費用終值!D17</f>
        <v>82.01615667015858</v>
      </c>
      <c r="AL11" s="176">
        <v>-5</v>
      </c>
      <c r="AM11" s="107">
        <f t="shared" si="6"/>
        <v>192.09136520289812</v>
      </c>
      <c r="AN11" s="110">
        <f t="shared" si="0"/>
        <v>-28.729125150515927</v>
      </c>
      <c r="AO11" s="110">
        <f t="shared" si="7"/>
        <v>53.130207361729248</v>
      </c>
      <c r="AP11" s="107"/>
      <c r="AQ11" s="112">
        <f t="shared" si="8"/>
        <v>3.7961763944473406</v>
      </c>
      <c r="AR11" s="112">
        <f t="shared" si="14"/>
        <v>2.7503999999999995</v>
      </c>
      <c r="AS11" s="112">
        <f t="shared" si="9"/>
        <v>155.70856830862769</v>
      </c>
      <c r="AT11" s="112">
        <f t="shared" si="10"/>
        <v>148.51402244234131</v>
      </c>
      <c r="AU11" s="112">
        <f t="shared" si="11"/>
        <v>123.71381008105473</v>
      </c>
    </row>
    <row r="12" spans="1:47" x14ac:dyDescent="0.3">
      <c r="A12" s="40"/>
      <c r="B12" s="54"/>
      <c r="C12" s="40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88" t="s">
        <v>342</v>
      </c>
      <c r="J12" s="107">
        <f t="shared" si="15"/>
        <v>53.130207361729248</v>
      </c>
      <c r="K12" s="107">
        <v>0.04</v>
      </c>
      <c r="L12" s="107">
        <f t="shared" si="1"/>
        <v>64.534998705604792</v>
      </c>
      <c r="M12" s="107">
        <f t="shared" si="2"/>
        <v>91.869562905486319</v>
      </c>
      <c r="N12" s="107">
        <f>J12*K12</f>
        <v>2.1252082944691701</v>
      </c>
      <c r="O12" s="107">
        <f t="shared" si="12"/>
        <v>5.9754628431115551</v>
      </c>
      <c r="P12" s="107"/>
      <c r="Q12" s="107"/>
      <c r="R12" s="107"/>
      <c r="S12" s="107"/>
      <c r="T12" s="107"/>
      <c r="U12" s="107"/>
      <c r="V12" s="107">
        <f t="shared" si="3"/>
        <v>164.50523274867183</v>
      </c>
      <c r="W12" s="107">
        <v>38.4</v>
      </c>
      <c r="X12" s="107">
        <f t="shared" si="16"/>
        <v>6.367248</v>
      </c>
      <c r="Y12" s="107"/>
      <c r="Z12" s="107">
        <f>Z11*(1+$B$3)</f>
        <v>4.2448319999999997</v>
      </c>
      <c r="AA12" s="107">
        <f>AA11*(1+$B$3)</f>
        <v>13.624055282294346</v>
      </c>
      <c r="AB12" s="107">
        <v>4.08</v>
      </c>
      <c r="AC12" s="107">
        <v>6.3</v>
      </c>
      <c r="AD12" s="107">
        <v>13.6</v>
      </c>
      <c r="AE12" s="107">
        <f t="shared" si="5"/>
        <v>5.8320517348768783</v>
      </c>
      <c r="AF12" s="107">
        <f t="shared" si="5"/>
        <v>4.5413517607647806</v>
      </c>
      <c r="AG12" s="107"/>
      <c r="AH12" s="107">
        <v>12</v>
      </c>
      <c r="AI12" s="107">
        <f t="shared" si="13"/>
        <v>7.4095739254583286</v>
      </c>
      <c r="AJ12" s="107"/>
      <c r="AK12" s="117">
        <f>理財目標費用終值!D10</f>
        <v>29.877314215557771</v>
      </c>
      <c r="AL12" s="176">
        <v>-5</v>
      </c>
      <c r="AM12" s="107">
        <f t="shared" si="6"/>
        <v>141.2764269189521</v>
      </c>
      <c r="AN12" s="110">
        <f t="shared" si="0"/>
        <v>23.228805829719732</v>
      </c>
      <c r="AO12" s="110">
        <f t="shared" si="7"/>
        <v>76.35901319144898</v>
      </c>
      <c r="AP12" s="107"/>
      <c r="AQ12" s="112">
        <f t="shared" si="8"/>
        <v>3.8720999223362873</v>
      </c>
      <c r="AR12" s="112">
        <f t="shared" si="14"/>
        <v>2.7503999999999995</v>
      </c>
      <c r="AS12" s="112">
        <f t="shared" si="9"/>
        <v>165.80901096330908</v>
      </c>
      <c r="AT12" s="112">
        <f t="shared" si="10"/>
        <v>157.204983340035</v>
      </c>
      <c r="AU12" s="112">
        <f t="shared" si="11"/>
        <v>134.66236248429692</v>
      </c>
    </row>
    <row r="13" spans="1:47" x14ac:dyDescent="0.3">
      <c r="A13" s="40"/>
      <c r="B13" s="54"/>
      <c r="C13" s="40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88" t="s">
        <v>343</v>
      </c>
      <c r="J13" s="107">
        <f t="shared" si="15"/>
        <v>76.35901319144898</v>
      </c>
      <c r="K13" s="107">
        <v>0.04</v>
      </c>
      <c r="L13" s="107">
        <f t="shared" si="1"/>
        <v>65.825698679716893</v>
      </c>
      <c r="M13" s="107">
        <f t="shared" si="2"/>
        <v>92.788258534541185</v>
      </c>
      <c r="N13" s="107">
        <f>J13*K13</f>
        <v>3.0543605276579591</v>
      </c>
      <c r="O13" s="107">
        <f t="shared" si="12"/>
        <v>6.094972099973786</v>
      </c>
      <c r="P13" s="107"/>
      <c r="Q13" s="107"/>
      <c r="R13" s="107"/>
      <c r="S13" s="107"/>
      <c r="T13" s="107"/>
      <c r="U13" s="107"/>
      <c r="V13" s="107">
        <f t="shared" si="3"/>
        <v>167.76328984188982</v>
      </c>
      <c r="W13" s="107">
        <v>38.4</v>
      </c>
      <c r="X13" s="107">
        <f t="shared" si="16"/>
        <v>6.4945929600000003</v>
      </c>
      <c r="Y13" s="107"/>
      <c r="Z13" s="107">
        <f>Z12*(1+$B$3)</f>
        <v>4.3297286399999999</v>
      </c>
      <c r="AA13" s="107">
        <f>AA12*(1+$B$3)</f>
        <v>13.896536387940234</v>
      </c>
      <c r="AB13" s="107">
        <v>4.08</v>
      </c>
      <c r="AC13" s="107">
        <v>6.6</v>
      </c>
      <c r="AD13" s="107">
        <v>13.6</v>
      </c>
      <c r="AE13" s="107">
        <f t="shared" si="5"/>
        <v>5.9486927695744161</v>
      </c>
      <c r="AF13" s="107">
        <f t="shared" si="5"/>
        <v>4.6321787959800762</v>
      </c>
      <c r="AG13" s="107"/>
      <c r="AH13" s="107">
        <f>12*2</f>
        <v>24</v>
      </c>
      <c r="AI13" s="107">
        <f t="shared" si="13"/>
        <v>7.5577654039674957</v>
      </c>
      <c r="AJ13" s="107"/>
      <c r="AK13" s="117">
        <f>理財目標費用終值!D11</f>
        <v>30.474860499868928</v>
      </c>
      <c r="AL13" s="176">
        <v>-5</v>
      </c>
      <c r="AM13" s="107">
        <f t="shared" si="6"/>
        <v>155.01435545733113</v>
      </c>
      <c r="AN13" s="110">
        <f t="shared" si="0"/>
        <v>12.74893438455868</v>
      </c>
      <c r="AO13" s="110">
        <f t="shared" si="7"/>
        <v>89.10794757600766</v>
      </c>
      <c r="AP13" s="107"/>
      <c r="AQ13" s="112">
        <f t="shared" si="8"/>
        <v>3.9495419207830134</v>
      </c>
      <c r="AR13" s="112">
        <f t="shared" si="14"/>
        <v>2.7503999999999995</v>
      </c>
      <c r="AS13" s="112">
        <f t="shared" si="9"/>
        <v>176.39091332262447</v>
      </c>
      <c r="AT13" s="112">
        <f t="shared" si="10"/>
        <v>166.24358267363641</v>
      </c>
      <c r="AU13" s="112">
        <f t="shared" si="11"/>
        <v>146.0488569836688</v>
      </c>
    </row>
    <row r="14" spans="1:47" x14ac:dyDescent="0.3">
      <c r="A14" s="40"/>
      <c r="B14" s="54"/>
      <c r="C14" s="40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88"/>
      <c r="J14" s="107">
        <f t="shared" si="15"/>
        <v>89.10794757600766</v>
      </c>
      <c r="K14" s="107">
        <v>0.04</v>
      </c>
      <c r="L14" s="107">
        <f t="shared" si="1"/>
        <v>67.142212653311233</v>
      </c>
      <c r="M14" s="107">
        <f t="shared" si="2"/>
        <v>93.716141119886601</v>
      </c>
      <c r="N14" s="107">
        <f>J14*K14</f>
        <v>3.5643179030403065</v>
      </c>
      <c r="O14" s="107">
        <f t="shared" si="12"/>
        <v>6.2168715419732621</v>
      </c>
      <c r="P14" s="107"/>
      <c r="Q14" s="107"/>
      <c r="R14" s="107"/>
      <c r="S14" s="107"/>
      <c r="T14" s="107"/>
      <c r="U14" s="107"/>
      <c r="V14" s="107">
        <f t="shared" si="3"/>
        <v>170.63954321821143</v>
      </c>
      <c r="W14" s="107">
        <v>38.4</v>
      </c>
      <c r="X14" s="107">
        <f t="shared" si="16"/>
        <v>6.6244848192000001</v>
      </c>
      <c r="Y14" s="107"/>
      <c r="Z14" s="107">
        <f>Z13*(1+$B$3)</f>
        <v>4.4163232128000001</v>
      </c>
      <c r="AA14" s="107">
        <f>AA13*(1+$B$3)</f>
        <v>14.17446711569904</v>
      </c>
      <c r="AB14" s="107">
        <v>4.08</v>
      </c>
      <c r="AC14" s="107">
        <v>7.2</v>
      </c>
      <c r="AD14" s="107">
        <v>7.6</v>
      </c>
      <c r="AE14" s="107">
        <f t="shared" si="5"/>
        <v>6.0676666249659048</v>
      </c>
      <c r="AF14" s="107">
        <f t="shared" si="5"/>
        <v>4.7248223718996778</v>
      </c>
      <c r="AG14" s="107"/>
      <c r="AH14" s="107">
        <f t="shared" ref="AH14:AH23" si="17">12*2</f>
        <v>24</v>
      </c>
      <c r="AI14" s="107">
        <f t="shared" si="13"/>
        <v>7.7089207120468455</v>
      </c>
      <c r="AJ14" s="107"/>
      <c r="AK14" s="117">
        <f>理財目標費用終值!D13*(1+B3)</f>
        <v>87.036201587625655</v>
      </c>
      <c r="AL14" s="176"/>
      <c r="AM14" s="107">
        <f t="shared" si="6"/>
        <v>212.03288644423714</v>
      </c>
      <c r="AN14" s="110">
        <f t="shared" si="0"/>
        <v>-41.393343226025706</v>
      </c>
      <c r="AO14" s="110">
        <f t="shared" si="7"/>
        <v>47.714604349981954</v>
      </c>
      <c r="AP14" s="107"/>
      <c r="AQ14" s="112">
        <f t="shared" si="8"/>
        <v>4.0285327591986739</v>
      </c>
      <c r="AR14" s="112">
        <f t="shared" si="14"/>
        <v>2.7503999999999995</v>
      </c>
      <c r="AS14" s="112">
        <f t="shared" si="9"/>
        <v>187.47508261472814</v>
      </c>
      <c r="AT14" s="112">
        <f t="shared" si="10"/>
        <v>175.64372598058188</v>
      </c>
      <c r="AU14" s="112">
        <f t="shared" ref="AU14:AU27" si="18">AU13*(1+$B$7)</f>
        <v>151.89081126301556</v>
      </c>
    </row>
    <row r="15" spans="1:47" x14ac:dyDescent="0.3">
      <c r="A15" s="40"/>
      <c r="B15" s="55"/>
      <c r="C15" s="40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88"/>
      <c r="J15" s="107">
        <f t="shared" si="15"/>
        <v>47.714604349981954</v>
      </c>
      <c r="K15" s="107">
        <v>0.04</v>
      </c>
      <c r="L15" s="107">
        <f t="shared" si="1"/>
        <v>68.485056906377466</v>
      </c>
      <c r="M15" s="107">
        <f t="shared" si="2"/>
        <v>94.653302531085473</v>
      </c>
      <c r="N15" s="107">
        <v>4</v>
      </c>
      <c r="O15" s="107">
        <f t="shared" si="12"/>
        <v>6.3412089728127272</v>
      </c>
      <c r="P15" s="107"/>
      <c r="Q15" s="107"/>
      <c r="R15" s="107"/>
      <c r="S15" s="107"/>
      <c r="T15" s="107"/>
      <c r="U15" s="107"/>
      <c r="V15" s="107">
        <f t="shared" si="3"/>
        <v>173.47956841027568</v>
      </c>
      <c r="W15" s="107">
        <v>38.4</v>
      </c>
      <c r="X15" s="107">
        <v>7</v>
      </c>
      <c r="Y15" s="107"/>
      <c r="Z15" s="107">
        <v>5</v>
      </c>
      <c r="AA15" s="107">
        <f t="shared" ref="AA15:AA27" si="19">AA14*(1+$B$3)</f>
        <v>14.457956458013021</v>
      </c>
      <c r="AB15" s="107">
        <v>4.08</v>
      </c>
      <c r="AC15" s="107">
        <v>7.5</v>
      </c>
      <c r="AD15" s="107">
        <v>7.6</v>
      </c>
      <c r="AE15" s="107">
        <f t="shared" si="5"/>
        <v>6.1890199574652227</v>
      </c>
      <c r="AF15" s="107">
        <f t="shared" si="5"/>
        <v>4.8193188193376715</v>
      </c>
      <c r="AG15" s="107"/>
      <c r="AH15" s="107">
        <f t="shared" si="17"/>
        <v>24</v>
      </c>
      <c r="AI15" s="107">
        <f t="shared" si="13"/>
        <v>7.863099126287783</v>
      </c>
      <c r="AJ15" s="107"/>
      <c r="AK15" s="107"/>
      <c r="AL15" s="107"/>
      <c r="AM15" s="107">
        <f t="shared" si="6"/>
        <v>126.90939436110368</v>
      </c>
      <c r="AN15" s="110">
        <f t="shared" si="0"/>
        <v>46.570174049171996</v>
      </c>
      <c r="AO15" s="110">
        <f t="shared" si="7"/>
        <v>94.28477839915395</v>
      </c>
      <c r="AP15" s="107"/>
      <c r="AQ15" s="112">
        <f t="shared" si="8"/>
        <v>4.1091034143826475</v>
      </c>
      <c r="AR15" s="112">
        <f t="shared" si="14"/>
        <v>2.7503999999999995</v>
      </c>
      <c r="AS15" s="112">
        <f t="shared" si="9"/>
        <v>199.08318933369992</v>
      </c>
      <c r="AT15" s="112">
        <f t="shared" si="10"/>
        <v>185.41987501980518</v>
      </c>
      <c r="AU15" s="112">
        <f t="shared" si="18"/>
        <v>157.96644371353619</v>
      </c>
    </row>
    <row r="16" spans="1:47" x14ac:dyDescent="0.3">
      <c r="A16" s="40"/>
      <c r="B16" s="40"/>
      <c r="C16" s="40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88"/>
      <c r="J16" s="107">
        <f t="shared" si="15"/>
        <v>94.28477839915395</v>
      </c>
      <c r="K16" s="107">
        <v>0.04</v>
      </c>
      <c r="L16" s="107">
        <f t="shared" si="1"/>
        <v>69.854758044505019</v>
      </c>
      <c r="M16" s="107">
        <f t="shared" si="2"/>
        <v>95.599835556396329</v>
      </c>
      <c r="N16" s="107">
        <f t="shared" ref="N16:N53" si="20">J16*K16</f>
        <v>3.7713911359661583</v>
      </c>
      <c r="O16" s="107">
        <f t="shared" si="12"/>
        <v>6.4680331522689816</v>
      </c>
      <c r="P16" s="107"/>
      <c r="Q16" s="107"/>
      <c r="R16" s="107"/>
      <c r="S16" s="107"/>
      <c r="T16" s="107"/>
      <c r="U16" s="107"/>
      <c r="V16" s="107">
        <f t="shared" si="3"/>
        <v>175.69401788913649</v>
      </c>
      <c r="W16" s="107">
        <v>38.4</v>
      </c>
      <c r="X16" s="107">
        <f>X15*(1+$B$3)</f>
        <v>7.1400000000000006</v>
      </c>
      <c r="Y16" s="107"/>
      <c r="Z16" s="107">
        <f>Z15*(1+$B$3)</f>
        <v>5.0999999999999996</v>
      </c>
      <c r="AA16" s="107">
        <f t="shared" si="19"/>
        <v>14.747115587173282</v>
      </c>
      <c r="AB16" s="107">
        <v>4.08</v>
      </c>
      <c r="AC16" s="107">
        <v>7.8</v>
      </c>
      <c r="AD16" s="107">
        <v>7.6</v>
      </c>
      <c r="AE16" s="107">
        <f t="shared" si="5"/>
        <v>6.3128003566145274</v>
      </c>
      <c r="AF16" s="107">
        <f t="shared" si="5"/>
        <v>4.9157051957244251</v>
      </c>
      <c r="AG16" s="107"/>
      <c r="AH16" s="107">
        <f t="shared" si="17"/>
        <v>24</v>
      </c>
      <c r="AI16" s="107">
        <f t="shared" si="13"/>
        <v>8.0203611088135389</v>
      </c>
      <c r="AJ16" s="107"/>
      <c r="AK16" s="107"/>
      <c r="AL16" s="107"/>
      <c r="AM16" s="107">
        <f t="shared" si="6"/>
        <v>128.11598224832576</v>
      </c>
      <c r="AN16" s="110">
        <f t="shared" si="0"/>
        <v>47.578035640810725</v>
      </c>
      <c r="AO16" s="110">
        <f t="shared" si="7"/>
        <v>141.86281403996469</v>
      </c>
      <c r="AP16" s="107"/>
      <c r="AQ16" s="112">
        <f t="shared" si="8"/>
        <v>4.1912854826703008</v>
      </c>
      <c r="AR16" s="112">
        <f t="shared" si="14"/>
        <v>2.7503999999999995</v>
      </c>
      <c r="AS16" s="112">
        <f t="shared" si="9"/>
        <v>211.23780238971824</v>
      </c>
      <c r="AT16" s="112">
        <f t="shared" si="10"/>
        <v>195.58707002059739</v>
      </c>
      <c r="AU16" s="112">
        <f t="shared" si="18"/>
        <v>164.28510146207765</v>
      </c>
    </row>
    <row r="17" spans="1:47" x14ac:dyDescent="0.3">
      <c r="A17" s="40"/>
      <c r="B17" s="55"/>
      <c r="C17" s="40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88"/>
      <c r="J17" s="107">
        <f t="shared" si="15"/>
        <v>141.86281403996469</v>
      </c>
      <c r="K17" s="107">
        <v>0.04</v>
      </c>
      <c r="L17" s="107">
        <f t="shared" si="1"/>
        <v>71.251853205395122</v>
      </c>
      <c r="M17" s="107">
        <f t="shared" si="2"/>
        <v>96.555833911960292</v>
      </c>
      <c r="N17" s="107">
        <f t="shared" si="20"/>
        <v>5.6745125615985881</v>
      </c>
      <c r="O17" s="107">
        <f t="shared" si="12"/>
        <v>6.5973938153143612</v>
      </c>
      <c r="P17" s="107"/>
      <c r="Q17" s="107"/>
      <c r="R17" s="107"/>
      <c r="S17" s="107"/>
      <c r="T17" s="107"/>
      <c r="U17" s="107"/>
      <c r="V17" s="107">
        <f t="shared" si="3"/>
        <v>180.07959349426835</v>
      </c>
      <c r="W17" s="107">
        <v>38.4</v>
      </c>
      <c r="X17" s="107">
        <f t="shared" si="16"/>
        <v>7.2828000000000008</v>
      </c>
      <c r="Y17" s="107"/>
      <c r="Z17" s="107">
        <f>Z16*(1+$B$3)</f>
        <v>5.202</v>
      </c>
      <c r="AA17" s="107">
        <f t="shared" si="19"/>
        <v>15.042057898916747</v>
      </c>
      <c r="AB17" s="107">
        <v>4.08</v>
      </c>
      <c r="AC17" s="107">
        <v>8</v>
      </c>
      <c r="AD17" s="107">
        <v>7.6</v>
      </c>
      <c r="AE17" s="107">
        <f t="shared" si="5"/>
        <v>6.4390563637468183</v>
      </c>
      <c r="AF17" s="107">
        <f t="shared" si="5"/>
        <v>5.0140192996389139</v>
      </c>
      <c r="AG17" s="107"/>
      <c r="AH17" s="107">
        <f t="shared" si="17"/>
        <v>24</v>
      </c>
      <c r="AI17" s="107">
        <f t="shared" si="13"/>
        <v>8.1807683309898103</v>
      </c>
      <c r="AJ17" s="107"/>
      <c r="AK17" s="107"/>
      <c r="AL17" s="107"/>
      <c r="AM17" s="107">
        <f t="shared" si="6"/>
        <v>129.24070189329228</v>
      </c>
      <c r="AN17" s="110">
        <f t="shared" si="0"/>
        <v>50.838891600976069</v>
      </c>
      <c r="AO17" s="110">
        <f t="shared" si="7"/>
        <v>192.70170564094076</v>
      </c>
      <c r="AP17" s="107"/>
      <c r="AQ17" s="112">
        <f t="shared" si="8"/>
        <v>4.2751111923237071</v>
      </c>
      <c r="AR17" s="112">
        <f t="shared" si="14"/>
        <v>2.7503999999999995</v>
      </c>
      <c r="AS17" s="112">
        <f t="shared" si="9"/>
        <v>223.9624256776307</v>
      </c>
      <c r="AT17" s="112">
        <f t="shared" si="10"/>
        <v>206.16095282142132</v>
      </c>
      <c r="AU17" s="112">
        <f t="shared" si="18"/>
        <v>170.85650552056077</v>
      </c>
    </row>
    <row r="18" spans="1:47" x14ac:dyDescent="0.3">
      <c r="A18" s="40"/>
      <c r="B18" s="55"/>
      <c r="C18" s="40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88"/>
      <c r="J18" s="107">
        <f t="shared" si="15"/>
        <v>192.70170564094076</v>
      </c>
      <c r="K18" s="107">
        <v>0.04</v>
      </c>
      <c r="L18" s="107">
        <f t="shared" si="1"/>
        <v>72.676890269503019</v>
      </c>
      <c r="M18" s="109">
        <v>0</v>
      </c>
      <c r="N18" s="107">
        <f t="shared" si="20"/>
        <v>7.7080682256376303</v>
      </c>
      <c r="O18" s="107">
        <f t="shared" si="12"/>
        <v>6.7293416916206485</v>
      </c>
      <c r="P18" s="109">
        <f>50</f>
        <v>50</v>
      </c>
      <c r="Q18" s="107"/>
      <c r="R18" s="107"/>
      <c r="S18" s="107"/>
      <c r="T18" s="107"/>
      <c r="U18" s="107"/>
      <c r="V18" s="107">
        <f t="shared" si="3"/>
        <v>137.11430018676128</v>
      </c>
      <c r="W18" s="107">
        <v>38.4</v>
      </c>
      <c r="X18" s="107">
        <f t="shared" si="16"/>
        <v>7.4284560000000006</v>
      </c>
      <c r="Y18" s="107"/>
      <c r="Z18" s="107">
        <f>Z17*(1+$B$3)</f>
        <v>5.3060400000000003</v>
      </c>
      <c r="AA18" s="107">
        <f t="shared" si="19"/>
        <v>15.342899056895082</v>
      </c>
      <c r="AB18" s="107">
        <v>4.08</v>
      </c>
      <c r="AC18" s="107">
        <v>8.3000000000000007</v>
      </c>
      <c r="AD18" s="107">
        <v>7.6</v>
      </c>
      <c r="AE18" s="107">
        <f t="shared" si="5"/>
        <v>6.5678374910217547</v>
      </c>
      <c r="AF18" s="107">
        <f t="shared" si="5"/>
        <v>5.1142996856316927</v>
      </c>
      <c r="AG18" s="107"/>
      <c r="AH18" s="107">
        <f t="shared" si="17"/>
        <v>24</v>
      </c>
      <c r="AI18" s="107">
        <f t="shared" si="13"/>
        <v>8.3443836976096062</v>
      </c>
      <c r="AJ18" s="107"/>
      <c r="AK18" s="109">
        <v>200</v>
      </c>
      <c r="AL18" s="107"/>
      <c r="AM18" s="107">
        <f t="shared" si="6"/>
        <v>330.48391593115809</v>
      </c>
      <c r="AN18" s="110">
        <f t="shared" si="0"/>
        <v>-193.36961574439681</v>
      </c>
      <c r="AO18" s="110">
        <f t="shared" si="7"/>
        <v>-0.66791010345605173</v>
      </c>
      <c r="AP18" s="107"/>
      <c r="AQ18" s="112">
        <f t="shared" si="8"/>
        <v>4.3606134161701808</v>
      </c>
      <c r="AR18" s="112">
        <f t="shared" si="14"/>
        <v>2.7503999999999995</v>
      </c>
      <c r="AS18" s="112">
        <f t="shared" si="9"/>
        <v>237.28153612090611</v>
      </c>
      <c r="AT18" s="112">
        <f t="shared" si="10"/>
        <v>217.15779093427818</v>
      </c>
      <c r="AU18" s="112">
        <f t="shared" si="18"/>
        <v>177.69076574138322</v>
      </c>
    </row>
    <row r="19" spans="1:47" x14ac:dyDescent="0.3">
      <c r="A19" s="40"/>
      <c r="B19" s="55"/>
      <c r="C19" s="40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88"/>
      <c r="J19" s="107">
        <f t="shared" si="15"/>
        <v>-0.66791010345605173</v>
      </c>
      <c r="K19" s="107">
        <v>0.04</v>
      </c>
      <c r="L19" s="107">
        <f t="shared" si="1"/>
        <v>74.130428074893075</v>
      </c>
      <c r="M19" s="109">
        <f t="shared" si="2"/>
        <v>0</v>
      </c>
      <c r="N19" s="107">
        <f t="shared" si="20"/>
        <v>-2.671640413824207E-2</v>
      </c>
      <c r="O19" s="107">
        <f t="shared" si="12"/>
        <v>6.863928525453062</v>
      </c>
      <c r="P19" s="109">
        <f>50*1.05</f>
        <v>52.5</v>
      </c>
      <c r="Q19" s="107"/>
      <c r="R19" s="107"/>
      <c r="S19" s="107"/>
      <c r="T19" s="107"/>
      <c r="U19" s="107"/>
      <c r="V19" s="107">
        <f t="shared" si="3"/>
        <v>133.4676401962079</v>
      </c>
      <c r="W19" s="107"/>
      <c r="X19" s="107">
        <f t="shared" si="16"/>
        <v>7.5770251200000009</v>
      </c>
      <c r="Y19" s="107"/>
      <c r="Z19" s="107">
        <f>Z18*(1+$B$3)</f>
        <v>5.4121608000000005</v>
      </c>
      <c r="AA19" s="107">
        <f t="shared" si="19"/>
        <v>15.649757038032984</v>
      </c>
      <c r="AB19" s="107">
        <v>4.08</v>
      </c>
      <c r="AC19" s="107">
        <v>8.5</v>
      </c>
      <c r="AD19" s="107">
        <v>7.6</v>
      </c>
      <c r="AE19" s="107">
        <f t="shared" si="5"/>
        <v>6.6991942408421901</v>
      </c>
      <c r="AF19" s="107">
        <f t="shared" si="5"/>
        <v>5.2165856793443268</v>
      </c>
      <c r="AG19" s="107"/>
      <c r="AH19" s="107">
        <f t="shared" si="17"/>
        <v>24</v>
      </c>
      <c r="AI19" s="107">
        <f t="shared" si="13"/>
        <v>8.5112713715617989</v>
      </c>
      <c r="AJ19" s="107"/>
      <c r="AK19" s="107"/>
      <c r="AL19" s="107"/>
      <c r="AM19" s="107">
        <f t="shared" si="6"/>
        <v>93.245994249781305</v>
      </c>
      <c r="AN19" s="110">
        <f t="shared" si="0"/>
        <v>40.221645946426591</v>
      </c>
      <c r="AO19" s="110">
        <f t="shared" si="7"/>
        <v>39.553735842970539</v>
      </c>
      <c r="AP19" s="107"/>
      <c r="AQ19" s="112">
        <f t="shared" si="8"/>
        <v>4.4478256844935844</v>
      </c>
      <c r="AR19" s="112">
        <f t="shared" si="14"/>
        <v>2.7503999999999995</v>
      </c>
      <c r="AS19" s="112">
        <f t="shared" si="9"/>
        <v>251.22062325023595</v>
      </c>
      <c r="AT19" s="112">
        <f t="shared" si="10"/>
        <v>228.59450257164934</v>
      </c>
      <c r="AU19" s="112">
        <f t="shared" si="18"/>
        <v>184.79839637103856</v>
      </c>
    </row>
    <row r="20" spans="1:47" x14ac:dyDescent="0.3">
      <c r="A20" s="40"/>
      <c r="B20" s="55"/>
      <c r="C20" s="40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88"/>
      <c r="J20" s="107">
        <f t="shared" si="15"/>
        <v>39.553735842970539</v>
      </c>
      <c r="K20" s="107">
        <v>0.04</v>
      </c>
      <c r="L20" s="107">
        <f t="shared" si="1"/>
        <v>75.613036636390945</v>
      </c>
      <c r="M20" s="109">
        <f t="shared" si="2"/>
        <v>0</v>
      </c>
      <c r="N20" s="107">
        <f t="shared" si="20"/>
        <v>1.5821494337188216</v>
      </c>
      <c r="O20" s="107">
        <f t="shared" si="12"/>
        <v>7.0012070959621235</v>
      </c>
      <c r="P20" s="109">
        <f>P19*1.05</f>
        <v>55.125</v>
      </c>
      <c r="Q20" s="107"/>
      <c r="R20" s="107"/>
      <c r="S20" s="107"/>
      <c r="T20" s="107"/>
      <c r="U20" s="107"/>
      <c r="V20" s="107">
        <f t="shared" si="3"/>
        <v>139.32139316607191</v>
      </c>
      <c r="W20" s="107"/>
      <c r="X20" s="107">
        <f t="shared" si="16"/>
        <v>7.7285656224000014</v>
      </c>
      <c r="Y20" s="107"/>
      <c r="Z20" s="107">
        <f>Z19*(1+$B$3)</f>
        <v>5.5204040160000005</v>
      </c>
      <c r="AA20" s="107">
        <f t="shared" si="19"/>
        <v>15.962752178793645</v>
      </c>
      <c r="AB20" s="107">
        <v>4.08</v>
      </c>
      <c r="AC20" s="107">
        <v>8.8000000000000007</v>
      </c>
      <c r="AD20" s="107">
        <v>7.6</v>
      </c>
      <c r="AE20" s="107">
        <f t="shared" ref="AE20:AF27" si="21">AE19*(1+$B$3)</f>
        <v>6.8331781256590336</v>
      </c>
      <c r="AF20" s="107">
        <f t="shared" si="21"/>
        <v>5.3209173929312135</v>
      </c>
      <c r="AG20" s="107"/>
      <c r="AH20" s="107">
        <f t="shared" si="17"/>
        <v>24</v>
      </c>
      <c r="AI20" s="107">
        <f t="shared" si="13"/>
        <v>8.6814967989930345</v>
      </c>
      <c r="AJ20" s="107"/>
      <c r="AK20" s="107"/>
      <c r="AL20" s="107"/>
      <c r="AM20" s="107">
        <f t="shared" si="6"/>
        <v>94.52731413477693</v>
      </c>
      <c r="AN20" s="110">
        <f t="shared" si="0"/>
        <v>44.794079031294984</v>
      </c>
      <c r="AO20" s="110">
        <f t="shared" si="7"/>
        <v>84.347814874265524</v>
      </c>
      <c r="AP20" s="107"/>
      <c r="AQ20" s="112">
        <f t="shared" si="8"/>
        <v>4.5367821981834568</v>
      </c>
      <c r="AR20" s="112">
        <f t="shared" si="14"/>
        <v>2.7503999999999995</v>
      </c>
      <c r="AS20" s="112">
        <f t="shared" si="9"/>
        <v>265.80623037842884</v>
      </c>
      <c r="AT20" s="112">
        <f t="shared" si="10"/>
        <v>240.48868267451533</v>
      </c>
      <c r="AU20" s="112">
        <f t="shared" si="18"/>
        <v>192.19033222588013</v>
      </c>
    </row>
    <row r="21" spans="1:47" x14ac:dyDescent="0.3">
      <c r="A21" s="40"/>
      <c r="B21" s="55"/>
      <c r="C21" s="40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88"/>
      <c r="J21" s="107">
        <f t="shared" si="15"/>
        <v>84.347814874265524</v>
      </c>
      <c r="K21" s="107">
        <v>0.04</v>
      </c>
      <c r="L21" s="107">
        <f t="shared" si="1"/>
        <v>77.125297369118769</v>
      </c>
      <c r="M21" s="109">
        <f t="shared" si="2"/>
        <v>0</v>
      </c>
      <c r="N21" s="107">
        <f t="shared" si="20"/>
        <v>3.373912594970621</v>
      </c>
      <c r="O21" s="107">
        <f t="shared" si="12"/>
        <v>7.1412312378813665</v>
      </c>
      <c r="P21" s="109">
        <f t="shared" ref="P21:P27" si="22">P20*1.05</f>
        <v>57.881250000000001</v>
      </c>
      <c r="Q21" s="107"/>
      <c r="R21" s="107"/>
      <c r="S21" s="107"/>
      <c r="T21" s="107"/>
      <c r="U21" s="107"/>
      <c r="V21" s="107">
        <f t="shared" si="3"/>
        <v>145.52169120197075</v>
      </c>
      <c r="W21" s="107"/>
      <c r="X21" s="107">
        <v>8</v>
      </c>
      <c r="Y21" s="107"/>
      <c r="Z21" s="107">
        <v>6</v>
      </c>
      <c r="AA21" s="107">
        <f t="shared" si="19"/>
        <v>16.282007222369518</v>
      </c>
      <c r="AB21" s="107">
        <v>4.08</v>
      </c>
      <c r="AC21" s="107">
        <v>9.1</v>
      </c>
      <c r="AD21" s="107">
        <v>7.6</v>
      </c>
      <c r="AE21" s="107">
        <f t="shared" si="21"/>
        <v>6.9698416881722141</v>
      </c>
      <c r="AF21" s="107">
        <f t="shared" si="21"/>
        <v>5.4273357407898377</v>
      </c>
      <c r="AG21" s="107"/>
      <c r="AH21" s="107">
        <f t="shared" si="17"/>
        <v>24</v>
      </c>
      <c r="AI21" s="107">
        <f t="shared" si="13"/>
        <v>8.8551267349728953</v>
      </c>
      <c r="AJ21" s="107"/>
      <c r="AK21" s="107"/>
      <c r="AL21" s="107"/>
      <c r="AM21" s="107">
        <f t="shared" si="6"/>
        <v>96.314311386304482</v>
      </c>
      <c r="AN21" s="110">
        <f t="shared" si="0"/>
        <v>49.207379815666272</v>
      </c>
      <c r="AO21" s="110">
        <f t="shared" si="7"/>
        <v>133.5551946899318</v>
      </c>
      <c r="AP21" s="107"/>
      <c r="AQ21" s="112">
        <f t="shared" si="8"/>
        <v>4.6275178421471264</v>
      </c>
      <c r="AR21" s="112">
        <f t="shared" si="14"/>
        <v>2.7503999999999995</v>
      </c>
      <c r="AS21" s="112">
        <f t="shared" si="9"/>
        <v>281.06599743571314</v>
      </c>
      <c r="AT21" s="112">
        <f t="shared" si="10"/>
        <v>252.85862998149597</v>
      </c>
      <c r="AU21" s="112">
        <f t="shared" si="18"/>
        <v>199.87794551491533</v>
      </c>
    </row>
    <row r="22" spans="1:47" x14ac:dyDescent="0.3">
      <c r="A22" s="40"/>
      <c r="B22" s="55"/>
      <c r="C22" s="40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I22" s="9"/>
      <c r="J22" s="107">
        <f t="shared" si="15"/>
        <v>133.5551946899318</v>
      </c>
      <c r="K22" s="107">
        <v>0.04</v>
      </c>
      <c r="L22" s="107">
        <f t="shared" si="1"/>
        <v>78.66780331650115</v>
      </c>
      <c r="M22" s="109">
        <f t="shared" si="2"/>
        <v>0</v>
      </c>
      <c r="N22" s="107">
        <f t="shared" si="20"/>
        <v>5.342207787597272</v>
      </c>
      <c r="O22" s="107">
        <f t="shared" si="12"/>
        <v>7.2840558626389935</v>
      </c>
      <c r="P22" s="109">
        <f t="shared" si="22"/>
        <v>60.775312500000005</v>
      </c>
      <c r="Q22" s="107"/>
      <c r="R22" s="107"/>
      <c r="S22" s="107"/>
      <c r="T22" s="107"/>
      <c r="U22" s="107"/>
      <c r="V22" s="107">
        <f t="shared" si="3"/>
        <v>152.06937946673742</v>
      </c>
      <c r="W22" s="107"/>
      <c r="X22" s="107">
        <f>X21*(1+$B$3)</f>
        <v>8.16</v>
      </c>
      <c r="Y22" s="107"/>
      <c r="Z22" s="107">
        <f>Z21*(1+$B$3)</f>
        <v>6.12</v>
      </c>
      <c r="AA22" s="107">
        <f t="shared" si="19"/>
        <v>16.607647366816909</v>
      </c>
      <c r="AB22" s="107">
        <v>4.08</v>
      </c>
      <c r="AC22" s="107">
        <v>9.4</v>
      </c>
      <c r="AD22" s="107">
        <v>7.6</v>
      </c>
      <c r="AE22" s="107">
        <f t="shared" si="21"/>
        <v>7.1092385219356586</v>
      </c>
      <c r="AF22" s="107">
        <f t="shared" si="21"/>
        <v>5.535882455605635</v>
      </c>
      <c r="AG22" s="107"/>
      <c r="AH22" s="107">
        <f t="shared" si="17"/>
        <v>24</v>
      </c>
      <c r="AI22" s="107">
        <f t="shared" si="13"/>
        <v>9.032229269672353</v>
      </c>
      <c r="AJ22" s="107"/>
      <c r="AK22" s="107"/>
      <c r="AL22" s="107"/>
      <c r="AM22" s="107">
        <f t="shared" si="6"/>
        <v>97.644997614030558</v>
      </c>
      <c r="AN22" s="110">
        <f t="shared" si="0"/>
        <v>54.424381852706858</v>
      </c>
      <c r="AO22" s="110">
        <f t="shared" si="7"/>
        <v>187.97957654263865</v>
      </c>
      <c r="AP22" s="107"/>
      <c r="AQ22" s="112">
        <f t="shared" si="8"/>
        <v>4.7200681989900692</v>
      </c>
      <c r="AR22" s="112">
        <f t="shared" si="14"/>
        <v>2.7503999999999995</v>
      </c>
      <c r="AS22" s="112">
        <f t="shared" si="9"/>
        <v>297.02870553213177</v>
      </c>
      <c r="AT22" s="112">
        <f t="shared" si="10"/>
        <v>265.72337518075585</v>
      </c>
      <c r="AU22" s="112">
        <f t="shared" si="18"/>
        <v>207.87306333551194</v>
      </c>
    </row>
    <row r="23" spans="1:47" x14ac:dyDescent="0.3">
      <c r="A23" s="40"/>
      <c r="B23" s="55"/>
      <c r="C23" s="40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88" t="s">
        <v>344</v>
      </c>
      <c r="J23" s="107">
        <f t="shared" si="15"/>
        <v>187.97957654263865</v>
      </c>
      <c r="K23" s="107">
        <v>0.04</v>
      </c>
      <c r="L23" s="107">
        <f t="shared" si="1"/>
        <v>80.241159382831171</v>
      </c>
      <c r="M23" s="109">
        <f t="shared" si="2"/>
        <v>0</v>
      </c>
      <c r="N23" s="107">
        <f t="shared" si="20"/>
        <v>7.5191830617055464</v>
      </c>
      <c r="O23" s="107">
        <f t="shared" si="12"/>
        <v>7.4297369798917732</v>
      </c>
      <c r="P23" s="109">
        <f t="shared" si="22"/>
        <v>63.814078125000009</v>
      </c>
      <c r="Q23" s="107"/>
      <c r="R23" s="107"/>
      <c r="S23" s="107"/>
      <c r="T23" s="107"/>
      <c r="U23" s="107"/>
      <c r="V23" s="107">
        <f t="shared" si="3"/>
        <v>159.0041575494285</v>
      </c>
      <c r="W23" s="107"/>
      <c r="X23" s="107">
        <f t="shared" si="16"/>
        <v>8.3231999999999999</v>
      </c>
      <c r="Y23" s="107"/>
      <c r="Z23" s="107">
        <f>Z22*(1+$B$3)</f>
        <v>6.2423999999999999</v>
      </c>
      <c r="AA23" s="107">
        <f t="shared" si="19"/>
        <v>16.939800314153249</v>
      </c>
      <c r="AB23" s="107">
        <v>4.08</v>
      </c>
      <c r="AC23" s="107">
        <v>9.6999999999999993</v>
      </c>
      <c r="AD23" s="107">
        <v>7.6</v>
      </c>
      <c r="AE23" s="107">
        <f t="shared" si="21"/>
        <v>7.2514232923743718</v>
      </c>
      <c r="AF23" s="107">
        <f t="shared" si="21"/>
        <v>5.6466001047177476</v>
      </c>
      <c r="AG23" s="107"/>
      <c r="AH23" s="107">
        <f t="shared" si="17"/>
        <v>24</v>
      </c>
      <c r="AI23" s="107">
        <f t="shared" si="13"/>
        <v>9.2128738550657996</v>
      </c>
      <c r="AJ23" s="107"/>
      <c r="AK23" s="117">
        <f>理財目標費用終值!D14</f>
        <v>104.0163177184848</v>
      </c>
      <c r="AL23" s="107"/>
      <c r="AM23" s="107">
        <f t="shared" si="6"/>
        <v>203.01261528479597</v>
      </c>
      <c r="AN23" s="110">
        <f t="shared" si="0"/>
        <v>-44.008457735367472</v>
      </c>
      <c r="AO23" s="110">
        <f t="shared" si="7"/>
        <v>143.97111880727118</v>
      </c>
      <c r="AP23" s="107"/>
      <c r="AQ23" s="112">
        <f t="shared" si="8"/>
        <v>4.8144695629698697</v>
      </c>
      <c r="AR23" s="112">
        <f t="shared" si="14"/>
        <v>2.7503999999999995</v>
      </c>
      <c r="AS23" s="112">
        <f t="shared" si="9"/>
        <v>313.72432331638691</v>
      </c>
      <c r="AT23" s="112">
        <f t="shared" si="10"/>
        <v>279.10271018798613</v>
      </c>
      <c r="AU23" s="112">
        <f t="shared" si="18"/>
        <v>216.18798586893243</v>
      </c>
    </row>
    <row r="24" spans="1:47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I24" s="9"/>
      <c r="J24" s="107">
        <f t="shared" si="15"/>
        <v>143.97111880727118</v>
      </c>
      <c r="K24" s="107">
        <v>0.04</v>
      </c>
      <c r="L24" s="107">
        <f t="shared" si="1"/>
        <v>81.845982570487791</v>
      </c>
      <c r="M24" s="109">
        <f t="shared" si="2"/>
        <v>0</v>
      </c>
      <c r="N24" s="107">
        <f t="shared" si="20"/>
        <v>5.7588447522908472</v>
      </c>
      <c r="O24" s="107">
        <f t="shared" si="12"/>
        <v>7.5783317194896087</v>
      </c>
      <c r="P24" s="109">
        <f t="shared" si="22"/>
        <v>67.004782031250016</v>
      </c>
      <c r="Q24" s="107"/>
      <c r="R24" s="107"/>
      <c r="S24" s="107"/>
      <c r="T24" s="112"/>
      <c r="U24" s="112"/>
      <c r="V24" s="107">
        <f t="shared" si="3"/>
        <v>162.18794107351826</v>
      </c>
      <c r="W24" s="112"/>
      <c r="X24" s="107">
        <f t="shared" si="16"/>
        <v>8.4896639999999994</v>
      </c>
      <c r="Y24" s="112"/>
      <c r="Z24" s="107">
        <f>Z23*(1+$B$3)</f>
        <v>6.367248</v>
      </c>
      <c r="AA24" s="107">
        <f t="shared" si="19"/>
        <v>17.278596320436314</v>
      </c>
      <c r="AB24" s="107">
        <v>4.08</v>
      </c>
      <c r="AC24" s="107">
        <v>10</v>
      </c>
      <c r="AD24" s="107">
        <v>6.4</v>
      </c>
      <c r="AE24" s="107">
        <f t="shared" si="21"/>
        <v>7.3964517582218594</v>
      </c>
      <c r="AF24" s="107">
        <f t="shared" si="21"/>
        <v>5.7595321068121024</v>
      </c>
      <c r="AG24" s="112"/>
      <c r="AH24" s="107"/>
      <c r="AI24" s="112"/>
      <c r="AJ24" s="112"/>
      <c r="AK24" s="112"/>
      <c r="AL24" s="112"/>
      <c r="AM24" s="107">
        <f t="shared" si="6"/>
        <v>65.771492185470265</v>
      </c>
      <c r="AN24" s="110">
        <f t="shared" si="0"/>
        <v>96.416448888047995</v>
      </c>
      <c r="AO24" s="110">
        <f t="shared" si="7"/>
        <v>240.38756769531918</v>
      </c>
      <c r="AP24" s="112"/>
      <c r="AQ24" s="112">
        <f t="shared" si="8"/>
        <v>4.9107589542292676</v>
      </c>
      <c r="AR24" s="112">
        <f t="shared" si="14"/>
        <v>2.7503999999999995</v>
      </c>
      <c r="AS24" s="112">
        <f t="shared" si="9"/>
        <v>331.18405520327167</v>
      </c>
      <c r="AT24" s="112">
        <f t="shared" si="10"/>
        <v>293.0172185955056</v>
      </c>
      <c r="AU24" s="112">
        <f t="shared" si="18"/>
        <v>224.83550530368973</v>
      </c>
    </row>
    <row r="25" spans="1:47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I25" s="9"/>
      <c r="J25" s="107">
        <f t="shared" si="15"/>
        <v>240.38756769531918</v>
      </c>
      <c r="K25" s="107">
        <v>0.04</v>
      </c>
      <c r="L25" s="107">
        <f t="shared" si="1"/>
        <v>83.482902221897547</v>
      </c>
      <c r="M25" s="109">
        <f t="shared" si="2"/>
        <v>0</v>
      </c>
      <c r="N25" s="107">
        <f t="shared" si="20"/>
        <v>9.6155027078127677</v>
      </c>
      <c r="O25" s="107">
        <f t="shared" si="12"/>
        <v>7.7298983538794008</v>
      </c>
      <c r="P25" s="109">
        <f t="shared" si="22"/>
        <v>70.355021132812524</v>
      </c>
      <c r="Q25" s="107"/>
      <c r="R25" s="107"/>
      <c r="S25" s="107"/>
      <c r="T25" s="112"/>
      <c r="U25" s="112"/>
      <c r="V25" s="107">
        <f t="shared" si="3"/>
        <v>171.18332441640223</v>
      </c>
      <c r="W25" s="112"/>
      <c r="X25" s="107">
        <f t="shared" si="16"/>
        <v>8.6594572799999998</v>
      </c>
      <c r="Y25" s="112"/>
      <c r="Z25" s="107">
        <f>Z24*(1+$B$3)</f>
        <v>6.4945929600000003</v>
      </c>
      <c r="AA25" s="107">
        <f t="shared" si="19"/>
        <v>17.624168246845041</v>
      </c>
      <c r="AB25" s="107">
        <v>4.08</v>
      </c>
      <c r="AC25" s="107">
        <v>10.3</v>
      </c>
      <c r="AD25" s="107">
        <v>6.4</v>
      </c>
      <c r="AE25" s="107">
        <f t="shared" si="21"/>
        <v>7.5443807933862965</v>
      </c>
      <c r="AF25" s="107">
        <f t="shared" si="21"/>
        <v>5.8747227489483445</v>
      </c>
      <c r="AG25" s="112"/>
      <c r="AH25" s="112"/>
      <c r="AI25" s="112"/>
      <c r="AJ25" s="112"/>
      <c r="AK25" s="112"/>
      <c r="AL25" s="112"/>
      <c r="AM25" s="107">
        <f t="shared" si="6"/>
        <v>66.977322029179689</v>
      </c>
      <c r="AN25" s="110">
        <f t="shared" si="0"/>
        <v>104.20600238722254</v>
      </c>
      <c r="AO25" s="110">
        <f t="shared" si="7"/>
        <v>344.5935700825417</v>
      </c>
      <c r="AP25" s="112"/>
      <c r="AQ25" s="112">
        <f t="shared" si="8"/>
        <v>5.0089741333138527</v>
      </c>
      <c r="AR25" s="112">
        <f t="shared" si="14"/>
        <v>2.7503999999999995</v>
      </c>
      <c r="AS25" s="112">
        <f t="shared" si="9"/>
        <v>349.44039154471642</v>
      </c>
      <c r="AT25" s="112">
        <f t="shared" si="10"/>
        <v>307.48830733932584</v>
      </c>
      <c r="AU25" s="112">
        <f t="shared" si="18"/>
        <v>233.82892551583731</v>
      </c>
    </row>
    <row r="26" spans="1:47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I26" s="9"/>
      <c r="J26" s="107">
        <f t="shared" si="15"/>
        <v>344.5935700825417</v>
      </c>
      <c r="K26" s="107">
        <v>0.04</v>
      </c>
      <c r="L26" s="107">
        <f t="shared" si="1"/>
        <v>85.152560266335499</v>
      </c>
      <c r="M26" s="109">
        <f t="shared" si="2"/>
        <v>0</v>
      </c>
      <c r="N26" s="107">
        <f t="shared" si="20"/>
        <v>13.783742803301669</v>
      </c>
      <c r="O26" s="107">
        <f t="shared" si="12"/>
        <v>7.8844963209569894</v>
      </c>
      <c r="P26" s="109">
        <f t="shared" si="22"/>
        <v>73.872772189453158</v>
      </c>
      <c r="Q26" s="107"/>
      <c r="R26" s="107"/>
      <c r="S26" s="107"/>
      <c r="T26" s="112"/>
      <c r="U26" s="112"/>
      <c r="V26" s="107">
        <f t="shared" si="3"/>
        <v>180.69357158004732</v>
      </c>
      <c r="W26" s="112"/>
      <c r="X26" s="107">
        <f t="shared" si="16"/>
        <v>8.8326464256000001</v>
      </c>
      <c r="Y26" s="112"/>
      <c r="Z26" s="107">
        <f>Z25*(1+$B$3)</f>
        <v>6.6244848192000001</v>
      </c>
      <c r="AA26" s="107">
        <f t="shared" si="19"/>
        <v>17.976651611781943</v>
      </c>
      <c r="AB26" s="107">
        <v>4.08</v>
      </c>
      <c r="AC26" s="107">
        <v>10.6</v>
      </c>
      <c r="AD26" s="107">
        <v>6.4</v>
      </c>
      <c r="AE26" s="107">
        <f t="shared" si="21"/>
        <v>7.6952684092540222</v>
      </c>
      <c r="AF26" s="107">
        <f t="shared" si="21"/>
        <v>5.9922172039273116</v>
      </c>
      <c r="AG26" s="112"/>
      <c r="AH26" s="112"/>
      <c r="AI26" s="112"/>
      <c r="AJ26" s="112"/>
      <c r="AK26" s="112"/>
      <c r="AL26" s="112"/>
      <c r="AM26" s="107">
        <f t="shared" si="6"/>
        <v>68.201268469763278</v>
      </c>
      <c r="AN26" s="110">
        <f t="shared" si="0"/>
        <v>112.49230311028404</v>
      </c>
      <c r="AO26" s="110">
        <f t="shared" si="7"/>
        <v>457.08587319282572</v>
      </c>
      <c r="AP26" s="112"/>
      <c r="AQ26" s="112">
        <f t="shared" si="8"/>
        <v>5.1091536159801301</v>
      </c>
      <c r="AR26" s="112">
        <f t="shared" si="14"/>
        <v>2.7503999999999995</v>
      </c>
      <c r="AS26" s="112">
        <f t="shared" si="9"/>
        <v>368.5271608224852</v>
      </c>
      <c r="AT26" s="112">
        <f t="shared" si="10"/>
        <v>322.53823963289892</v>
      </c>
      <c r="AU26" s="112">
        <f t="shared" si="18"/>
        <v>243.1820825364708</v>
      </c>
    </row>
    <row r="27" spans="1:47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I27" s="9"/>
      <c r="J27" s="107">
        <f t="shared" si="15"/>
        <v>457.08587319282572</v>
      </c>
      <c r="K27" s="107">
        <v>0.04</v>
      </c>
      <c r="L27" s="107">
        <f t="shared" si="1"/>
        <v>86.855611471662215</v>
      </c>
      <c r="M27" s="109">
        <f t="shared" si="2"/>
        <v>0</v>
      </c>
      <c r="N27" s="107">
        <f t="shared" si="20"/>
        <v>18.283434927713028</v>
      </c>
      <c r="O27" s="107">
        <f t="shared" si="12"/>
        <v>8.0421862473761294</v>
      </c>
      <c r="P27" s="109">
        <f t="shared" si="22"/>
        <v>77.566410798925816</v>
      </c>
      <c r="Q27" s="107"/>
      <c r="R27" s="107"/>
      <c r="S27" s="107"/>
      <c r="T27" s="112"/>
      <c r="U27" s="112"/>
      <c r="V27" s="107">
        <f t="shared" si="3"/>
        <v>190.74764344567717</v>
      </c>
      <c r="W27" s="112"/>
      <c r="X27" s="107">
        <v>9</v>
      </c>
      <c r="Y27" s="112"/>
      <c r="Z27" s="107">
        <v>7</v>
      </c>
      <c r="AA27" s="107">
        <f t="shared" si="19"/>
        <v>18.336184644017582</v>
      </c>
      <c r="AB27" s="107">
        <v>4.08</v>
      </c>
      <c r="AC27" s="107">
        <v>10.9</v>
      </c>
      <c r="AD27" s="107">
        <v>6.4</v>
      </c>
      <c r="AE27" s="107">
        <f t="shared" si="21"/>
        <v>7.8491737774391028</v>
      </c>
      <c r="AF27" s="107">
        <f t="shared" si="21"/>
        <v>6.1120615480058582</v>
      </c>
      <c r="AG27" s="112"/>
      <c r="AH27" s="112"/>
      <c r="AI27" s="112"/>
      <c r="AJ27" s="112"/>
      <c r="AK27" s="112"/>
      <c r="AL27" s="112"/>
      <c r="AM27" s="107">
        <f t="shared" si="6"/>
        <v>69.677419969462534</v>
      </c>
      <c r="AN27" s="110">
        <f t="shared" si="0"/>
        <v>121.07022347621464</v>
      </c>
      <c r="AO27" s="110">
        <f t="shared" si="7"/>
        <v>578.15609666904038</v>
      </c>
      <c r="AP27" s="112"/>
      <c r="AQ27" s="112">
        <f t="shared" si="8"/>
        <v>5.211336688299733</v>
      </c>
      <c r="AR27" s="112">
        <f t="shared" si="14"/>
        <v>2.7503999999999995</v>
      </c>
      <c r="AS27" s="112">
        <f t="shared" si="9"/>
        <v>388.47958394368436</v>
      </c>
      <c r="AT27" s="112">
        <f t="shared" si="10"/>
        <v>338.19016921821492</v>
      </c>
      <c r="AU27" s="112">
        <f t="shared" si="18"/>
        <v>252.90936583792964</v>
      </c>
    </row>
    <row r="28" spans="1:47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s="9" t="s">
        <v>345</v>
      </c>
      <c r="J28" s="107">
        <f t="shared" si="15"/>
        <v>578.15609666904038</v>
      </c>
      <c r="K28" s="107">
        <v>0.02</v>
      </c>
      <c r="L28" s="112"/>
      <c r="M28" s="112"/>
      <c r="N28" s="107">
        <f t="shared" si="20"/>
        <v>11.563121933380808</v>
      </c>
      <c r="O28" s="107">
        <f t="shared" si="12"/>
        <v>8.2030299723236517</v>
      </c>
      <c r="P28" s="107"/>
      <c r="Q28" s="112">
        <v>34.927080000000004</v>
      </c>
      <c r="R28" s="112">
        <v>29.131319999999995</v>
      </c>
      <c r="S28" s="112">
        <f>PMT(0.01/12,20*12,-AS27,,1)*12</f>
        <v>21.421294804000734</v>
      </c>
      <c r="T28" s="112">
        <f>PMT(0.01/12,20*12,-AT27,,1)*12</f>
        <v>18.648267795942825</v>
      </c>
      <c r="U28" s="112">
        <f>AU27</f>
        <v>252.90936583792964</v>
      </c>
      <c r="V28" s="107">
        <f t="shared" si="3"/>
        <v>376.80348034357769</v>
      </c>
      <c r="W28" s="112"/>
      <c r="X28" s="107"/>
      <c r="Y28" s="112"/>
      <c r="Z28" s="107"/>
      <c r="AA28" s="107"/>
      <c r="AB28" s="107"/>
      <c r="AC28" s="112"/>
      <c r="AD28" s="107">
        <v>4.2</v>
      </c>
      <c r="AE28" s="112"/>
      <c r="AF28" s="112"/>
      <c r="AG28" s="112"/>
      <c r="AH28" s="112"/>
      <c r="AI28" s="112"/>
      <c r="AJ28" s="107">
        <v>118.12363160146052</v>
      </c>
      <c r="AK28" s="112"/>
      <c r="AL28" s="107"/>
      <c r="AM28" s="107">
        <f t="shared" si="6"/>
        <v>122.32363160146052</v>
      </c>
      <c r="AN28" s="110">
        <f t="shared" si="0"/>
        <v>254.47984874211716</v>
      </c>
      <c r="AO28" s="110">
        <f t="shared" si="7"/>
        <v>832.63594541115754</v>
      </c>
      <c r="AP28" s="112"/>
      <c r="AQ28" s="112"/>
      <c r="AR28" s="112"/>
      <c r="AS28" s="112"/>
      <c r="AT28" s="112"/>
      <c r="AU28" s="112"/>
    </row>
    <row r="29" spans="1:47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I29" s="9"/>
      <c r="J29" s="107">
        <f t="shared" si="15"/>
        <v>832.63594541115754</v>
      </c>
      <c r="K29" s="107">
        <v>0.02</v>
      </c>
      <c r="L29" s="112"/>
      <c r="M29" s="112"/>
      <c r="N29" s="107">
        <f t="shared" si="20"/>
        <v>16.65271890822315</v>
      </c>
      <c r="O29" s="107">
        <f t="shared" si="12"/>
        <v>8.3670905717701256</v>
      </c>
      <c r="P29" s="107"/>
      <c r="Q29" s="112">
        <f>Q28*(1+$B$3)</f>
        <v>35.625621600000002</v>
      </c>
      <c r="R29" s="112">
        <f>R28*(1+$B$3)</f>
        <v>29.713946399999994</v>
      </c>
      <c r="S29" s="107">
        <f>S28</f>
        <v>21.421294804000734</v>
      </c>
      <c r="T29" s="112">
        <f>T28</f>
        <v>18.648267795942825</v>
      </c>
      <c r="U29" s="112"/>
      <c r="V29" s="107">
        <f t="shared" si="3"/>
        <v>130.42894007993684</v>
      </c>
      <c r="W29" s="112"/>
      <c r="X29" s="107"/>
      <c r="Y29" s="112"/>
      <c r="Z29" s="107"/>
      <c r="AA29" s="112"/>
      <c r="AB29" s="112"/>
      <c r="AC29" s="112"/>
      <c r="AD29" s="107">
        <v>4.2</v>
      </c>
      <c r="AE29" s="112"/>
      <c r="AF29" s="112"/>
      <c r="AG29" s="112"/>
      <c r="AH29" s="112"/>
      <c r="AI29" s="112"/>
      <c r="AJ29" s="107">
        <f>AJ28*(1+$B$3)</f>
        <v>120.48610423348973</v>
      </c>
      <c r="AK29" s="112"/>
      <c r="AL29" s="112"/>
      <c r="AM29" s="107">
        <f t="shared" si="6"/>
        <v>124.68610423348973</v>
      </c>
      <c r="AN29" s="110">
        <f t="shared" si="0"/>
        <v>5.7428358464471074</v>
      </c>
      <c r="AO29" s="110">
        <f t="shared" si="7"/>
        <v>838.3787812576046</v>
      </c>
      <c r="AP29" s="112"/>
      <c r="AQ29" s="112"/>
      <c r="AR29" s="112"/>
      <c r="AS29" s="112"/>
      <c r="AT29" s="112"/>
      <c r="AU29" s="112"/>
    </row>
    <row r="30" spans="1:47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I30" s="9"/>
      <c r="J30" s="107">
        <f t="shared" si="15"/>
        <v>838.3787812576046</v>
      </c>
      <c r="K30" s="107">
        <v>0.02</v>
      </c>
      <c r="L30" s="112"/>
      <c r="M30" s="112"/>
      <c r="N30" s="107">
        <f t="shared" si="20"/>
        <v>16.767575625152091</v>
      </c>
      <c r="O30" s="107">
        <f t="shared" si="12"/>
        <v>8.5344323832055284</v>
      </c>
      <c r="P30" s="107"/>
      <c r="Q30" s="112">
        <f t="shared" si="12"/>
        <v>36.338134032000006</v>
      </c>
      <c r="R30" s="112">
        <f t="shared" si="12"/>
        <v>30.308225327999995</v>
      </c>
      <c r="S30" s="107">
        <f t="shared" ref="S30:T45" si="23">S29</f>
        <v>21.421294804000734</v>
      </c>
      <c r="T30" s="112">
        <f t="shared" si="23"/>
        <v>18.648267795942825</v>
      </c>
      <c r="U30" s="112"/>
      <c r="V30" s="107">
        <f t="shared" si="3"/>
        <v>132.01792996830119</v>
      </c>
      <c r="W30" s="112"/>
      <c r="X30" s="107"/>
      <c r="Y30" s="112"/>
      <c r="Z30" s="107"/>
      <c r="AA30" s="112"/>
      <c r="AB30" s="112"/>
      <c r="AC30" s="112"/>
      <c r="AD30" s="107">
        <v>4.2</v>
      </c>
      <c r="AE30" s="112"/>
      <c r="AF30" s="112"/>
      <c r="AG30" s="112"/>
      <c r="AH30" s="112"/>
      <c r="AI30" s="112"/>
      <c r="AJ30" s="107">
        <f>AJ29*(1+$B$3)</f>
        <v>122.89582631815952</v>
      </c>
      <c r="AK30" s="112"/>
      <c r="AL30" s="112"/>
      <c r="AM30" s="107">
        <f t="shared" si="6"/>
        <v>127.09582631815952</v>
      </c>
      <c r="AN30" s="110">
        <f t="shared" si="0"/>
        <v>4.9221036501416648</v>
      </c>
      <c r="AO30" s="110">
        <f t="shared" si="7"/>
        <v>843.30088490774631</v>
      </c>
      <c r="AP30" s="112"/>
      <c r="AQ30" s="112"/>
      <c r="AR30" s="112"/>
      <c r="AS30" s="112"/>
      <c r="AT30" s="112"/>
      <c r="AU30" s="112"/>
    </row>
    <row r="31" spans="1:47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I31" s="9"/>
      <c r="J31" s="107">
        <f t="shared" si="15"/>
        <v>843.30088490774631</v>
      </c>
      <c r="K31" s="107">
        <v>0.02</v>
      </c>
      <c r="L31" s="112"/>
      <c r="M31" s="112"/>
      <c r="N31" s="107">
        <f t="shared" si="20"/>
        <v>16.866017698154927</v>
      </c>
      <c r="O31" s="107">
        <f t="shared" ref="O31:R46" si="24">O30*(1+$B$3)</f>
        <v>8.7051210308696394</v>
      </c>
      <c r="P31" s="107"/>
      <c r="Q31" s="112">
        <f t="shared" si="24"/>
        <v>37.064896712640007</v>
      </c>
      <c r="R31" s="112">
        <f t="shared" si="24"/>
        <v>30.914389834559994</v>
      </c>
      <c r="S31" s="107">
        <f t="shared" si="23"/>
        <v>21.421294804000734</v>
      </c>
      <c r="T31" s="112">
        <f t="shared" si="23"/>
        <v>18.648267795942825</v>
      </c>
      <c r="U31" s="112"/>
      <c r="V31" s="107">
        <f t="shared" si="3"/>
        <v>133.61998787616812</v>
      </c>
      <c r="W31" s="112"/>
      <c r="X31" s="107"/>
      <c r="Y31" s="112"/>
      <c r="Z31" s="107"/>
      <c r="AA31" s="112"/>
      <c r="AB31" s="112"/>
      <c r="AC31" s="112"/>
      <c r="AD31" s="107">
        <v>4.2</v>
      </c>
      <c r="AE31" s="112"/>
      <c r="AF31" s="112"/>
      <c r="AG31" s="112"/>
      <c r="AH31" s="112"/>
      <c r="AI31" s="112"/>
      <c r="AJ31" s="107">
        <f t="shared" ref="AJ31:AJ53" si="25">AJ30*(1+$B$3)</f>
        <v>125.35374284452271</v>
      </c>
      <c r="AK31" s="112"/>
      <c r="AL31" s="112"/>
      <c r="AM31" s="107">
        <f t="shared" si="6"/>
        <v>129.5537428445227</v>
      </c>
      <c r="AN31" s="110">
        <f t="shared" si="0"/>
        <v>4.0662450316454226</v>
      </c>
      <c r="AO31" s="110">
        <f t="shared" si="7"/>
        <v>847.3671299393917</v>
      </c>
      <c r="AP31" s="112"/>
      <c r="AQ31" s="112"/>
      <c r="AR31" s="112"/>
      <c r="AS31" s="112"/>
      <c r="AT31" s="112"/>
      <c r="AU31" s="112"/>
    </row>
    <row r="32" spans="1:47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I32" s="9"/>
      <c r="J32" s="107">
        <f t="shared" si="15"/>
        <v>847.3671299393917</v>
      </c>
      <c r="K32" s="107">
        <v>0.02</v>
      </c>
      <c r="L32" s="112"/>
      <c r="M32" s="112"/>
      <c r="N32" s="107">
        <f t="shared" si="20"/>
        <v>16.947342598787834</v>
      </c>
      <c r="O32" s="107">
        <f t="shared" si="24"/>
        <v>8.8792234514870323</v>
      </c>
      <c r="P32" s="107"/>
      <c r="Q32" s="112">
        <f t="shared" si="24"/>
        <v>37.806194646892806</v>
      </c>
      <c r="R32" s="112">
        <f t="shared" si="24"/>
        <v>31.532677631251193</v>
      </c>
      <c r="S32" s="107">
        <f t="shared" si="23"/>
        <v>21.421294804000734</v>
      </c>
      <c r="T32" s="112">
        <f t="shared" si="23"/>
        <v>18.648267795942825</v>
      </c>
      <c r="U32" s="112"/>
      <c r="V32" s="107">
        <f t="shared" si="3"/>
        <v>135.23500092836241</v>
      </c>
      <c r="W32" s="112"/>
      <c r="X32" s="107"/>
      <c r="Y32" s="112"/>
      <c r="Z32" s="107"/>
      <c r="AA32" s="112"/>
      <c r="AB32" s="112"/>
      <c r="AC32" s="112"/>
      <c r="AD32" s="107">
        <v>4.2</v>
      </c>
      <c r="AE32" s="112"/>
      <c r="AF32" s="112"/>
      <c r="AG32" s="112"/>
      <c r="AH32" s="112"/>
      <c r="AI32" s="112"/>
      <c r="AJ32" s="107">
        <f t="shared" si="25"/>
        <v>127.86081770141317</v>
      </c>
      <c r="AK32" s="112"/>
      <c r="AL32" s="112"/>
      <c r="AM32" s="107">
        <f t="shared" si="6"/>
        <v>132.06081770141316</v>
      </c>
      <c r="AN32" s="110">
        <f t="shared" si="0"/>
        <v>3.1741832269492534</v>
      </c>
      <c r="AO32" s="110">
        <f t="shared" si="7"/>
        <v>850.54131316634096</v>
      </c>
      <c r="AP32" s="112"/>
      <c r="AQ32" s="112"/>
      <c r="AR32" s="112"/>
      <c r="AS32" s="112"/>
      <c r="AT32" s="112"/>
      <c r="AU32" s="112"/>
    </row>
    <row r="33" spans="4:47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I33" s="9"/>
      <c r="J33" s="107">
        <f t="shared" si="15"/>
        <v>850.54131316634096</v>
      </c>
      <c r="K33" s="107">
        <v>0.02</v>
      </c>
      <c r="L33" s="112"/>
      <c r="M33" s="112"/>
      <c r="N33" s="107">
        <f t="shared" si="20"/>
        <v>17.01082626332682</v>
      </c>
      <c r="O33" s="107">
        <f t="shared" si="24"/>
        <v>9.0568079205167731</v>
      </c>
      <c r="P33" s="107"/>
      <c r="Q33" s="112">
        <f t="shared" si="24"/>
        <v>38.562318539830663</v>
      </c>
      <c r="R33" s="112">
        <f t="shared" si="24"/>
        <v>32.163331183876217</v>
      </c>
      <c r="S33" s="107">
        <f t="shared" si="23"/>
        <v>21.421294804000734</v>
      </c>
      <c r="T33" s="112">
        <f t="shared" si="23"/>
        <v>18.648267795942825</v>
      </c>
      <c r="U33" s="112"/>
      <c r="V33" s="107">
        <f t="shared" si="3"/>
        <v>136.86284650749403</v>
      </c>
      <c r="W33" s="112"/>
      <c r="X33" s="107"/>
      <c r="Y33" s="112"/>
      <c r="Z33" s="107"/>
      <c r="AA33" s="112"/>
      <c r="AB33" s="112"/>
      <c r="AC33" s="112"/>
      <c r="AD33" s="107">
        <v>4.2</v>
      </c>
      <c r="AE33" s="112"/>
      <c r="AF33" s="112"/>
      <c r="AG33" s="112"/>
      <c r="AH33" s="112"/>
      <c r="AI33" s="112"/>
      <c r="AJ33" s="107">
        <f t="shared" si="25"/>
        <v>130.41803405544144</v>
      </c>
      <c r="AK33" s="112"/>
      <c r="AL33" s="112"/>
      <c r="AM33" s="107">
        <f t="shared" si="6"/>
        <v>134.61803405544143</v>
      </c>
      <c r="AN33" s="110">
        <f t="shared" si="0"/>
        <v>2.2448124520525994</v>
      </c>
      <c r="AO33" s="110">
        <f t="shared" si="7"/>
        <v>852.7861256183935</v>
      </c>
      <c r="AP33" s="112"/>
      <c r="AQ33" s="112"/>
      <c r="AR33" s="112"/>
      <c r="AS33" s="112"/>
      <c r="AT33" s="112"/>
      <c r="AU33" s="112"/>
    </row>
    <row r="34" spans="4:47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I34" s="9"/>
      <c r="J34" s="107">
        <f t="shared" si="15"/>
        <v>852.7861256183935</v>
      </c>
      <c r="K34" s="107">
        <v>0.02</v>
      </c>
      <c r="L34" s="112"/>
      <c r="M34" s="112"/>
      <c r="N34" s="107">
        <f t="shared" si="20"/>
        <v>17.055722512367872</v>
      </c>
      <c r="O34" s="107">
        <f t="shared" si="24"/>
        <v>9.237944078927109</v>
      </c>
      <c r="P34" s="107"/>
      <c r="Q34" s="112">
        <f t="shared" si="24"/>
        <v>39.333564910627274</v>
      </c>
      <c r="R34" s="112">
        <f t="shared" si="24"/>
        <v>32.806597807553743</v>
      </c>
      <c r="S34" s="107">
        <f t="shared" si="23"/>
        <v>21.421294804000734</v>
      </c>
      <c r="T34" s="112">
        <f t="shared" si="23"/>
        <v>18.648267795942825</v>
      </c>
      <c r="U34" s="112"/>
      <c r="V34" s="107">
        <f t="shared" si="3"/>
        <v>138.50339190941955</v>
      </c>
      <c r="W34" s="112"/>
      <c r="X34" s="107"/>
      <c r="Y34" s="112"/>
      <c r="Z34" s="107"/>
      <c r="AA34" s="112"/>
      <c r="AB34" s="112"/>
      <c r="AC34" s="112"/>
      <c r="AD34" s="107">
        <v>4.2</v>
      </c>
      <c r="AE34" s="112"/>
      <c r="AF34" s="112"/>
      <c r="AG34" s="112"/>
      <c r="AH34" s="112"/>
      <c r="AI34" s="112"/>
      <c r="AJ34" s="107">
        <f t="shared" si="25"/>
        <v>133.02639473655026</v>
      </c>
      <c r="AK34" s="112"/>
      <c r="AL34" s="112"/>
      <c r="AM34" s="107">
        <f t="shared" si="6"/>
        <v>137.22639473655025</v>
      </c>
      <c r="AN34" s="110">
        <f t="shared" si="0"/>
        <v>1.2769971728693008</v>
      </c>
      <c r="AO34" s="110">
        <f t="shared" si="7"/>
        <v>854.0631227912628</v>
      </c>
      <c r="AP34" s="112"/>
      <c r="AQ34" s="112"/>
      <c r="AR34" s="112"/>
      <c r="AS34" s="112"/>
      <c r="AT34" s="112"/>
      <c r="AU34" s="112"/>
    </row>
    <row r="35" spans="4:47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I35" s="9"/>
      <c r="J35" s="107">
        <f t="shared" si="15"/>
        <v>854.0631227912628</v>
      </c>
      <c r="K35" s="107">
        <v>0.02</v>
      </c>
      <c r="L35" s="112"/>
      <c r="M35" s="112"/>
      <c r="N35" s="107">
        <f t="shared" si="20"/>
        <v>17.081262455825257</v>
      </c>
      <c r="O35" s="107">
        <f t="shared" si="24"/>
        <v>9.4227029605056511</v>
      </c>
      <c r="P35" s="107"/>
      <c r="Q35" s="112">
        <f t="shared" si="24"/>
        <v>40.12023620883982</v>
      </c>
      <c r="R35" s="112">
        <f t="shared" si="24"/>
        <v>33.462729763704822</v>
      </c>
      <c r="S35" s="107">
        <f t="shared" si="23"/>
        <v>21.421294804000734</v>
      </c>
      <c r="T35" s="112">
        <f t="shared" si="23"/>
        <v>18.648267795942825</v>
      </c>
      <c r="U35" s="112"/>
      <c r="V35" s="107">
        <f t="shared" si="3"/>
        <v>140.15649398881911</v>
      </c>
      <c r="W35" s="112"/>
      <c r="X35" s="107"/>
      <c r="Y35" s="112"/>
      <c r="Z35" s="107"/>
      <c r="AA35" s="112"/>
      <c r="AB35" s="112"/>
      <c r="AC35" s="112"/>
      <c r="AD35" s="107">
        <v>4.2</v>
      </c>
      <c r="AE35" s="112"/>
      <c r="AF35" s="112"/>
      <c r="AG35" s="112"/>
      <c r="AH35" s="112"/>
      <c r="AI35" s="112"/>
      <c r="AJ35" s="107">
        <f t="shared" si="25"/>
        <v>135.68692263128128</v>
      </c>
      <c r="AK35" s="112"/>
      <c r="AL35" s="112"/>
      <c r="AM35" s="107">
        <f t="shared" si="6"/>
        <v>139.88692263128127</v>
      </c>
      <c r="AN35" s="110">
        <f t="shared" si="0"/>
        <v>0.269571357537842</v>
      </c>
      <c r="AO35" s="110">
        <f t="shared" si="7"/>
        <v>854.33269414880067</v>
      </c>
      <c r="AP35" s="112"/>
      <c r="AQ35" s="112"/>
      <c r="AR35" s="112"/>
      <c r="AS35" s="112"/>
      <c r="AT35" s="112"/>
      <c r="AU35" s="112"/>
    </row>
    <row r="36" spans="4:47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I36" s="9"/>
      <c r="J36" s="107">
        <f t="shared" si="15"/>
        <v>854.33269414880067</v>
      </c>
      <c r="K36" s="107">
        <v>0.02</v>
      </c>
      <c r="L36" s="112"/>
      <c r="M36" s="112"/>
      <c r="N36" s="107">
        <f t="shared" si="20"/>
        <v>17.086653882976012</v>
      </c>
      <c r="O36" s="107">
        <f t="shared" si="24"/>
        <v>9.6111570197157636</v>
      </c>
      <c r="P36" s="107"/>
      <c r="Q36" s="112">
        <f t="shared" si="24"/>
        <v>40.922640933016616</v>
      </c>
      <c r="R36" s="112">
        <f t="shared" si="24"/>
        <v>34.131984358978919</v>
      </c>
      <c r="S36" s="107">
        <f t="shared" si="23"/>
        <v>21.421294804000734</v>
      </c>
      <c r="T36" s="112">
        <f t="shared" si="23"/>
        <v>18.648267795942825</v>
      </c>
      <c r="U36" s="112"/>
      <c r="V36" s="107">
        <f t="shared" si="3"/>
        <v>141.82199879463087</v>
      </c>
      <c r="W36" s="112"/>
      <c r="X36" s="107"/>
      <c r="Y36" s="112"/>
      <c r="Z36" s="107"/>
      <c r="AA36" s="112"/>
      <c r="AB36" s="112"/>
      <c r="AC36" s="112"/>
      <c r="AD36" s="107">
        <v>4.2</v>
      </c>
      <c r="AE36" s="112"/>
      <c r="AF36" s="112"/>
      <c r="AG36" s="112"/>
      <c r="AH36" s="112"/>
      <c r="AI36" s="112"/>
      <c r="AJ36" s="107">
        <f t="shared" si="25"/>
        <v>138.4006610839069</v>
      </c>
      <c r="AK36" s="112"/>
      <c r="AL36" s="112"/>
      <c r="AM36" s="107">
        <f t="shared" si="6"/>
        <v>142.60066108390689</v>
      </c>
      <c r="AN36" s="110">
        <f t="shared" si="0"/>
        <v>-0.77866228927601355</v>
      </c>
      <c r="AO36" s="110">
        <f t="shared" si="7"/>
        <v>853.55403185952468</v>
      </c>
      <c r="AP36" s="112"/>
      <c r="AQ36" s="112"/>
      <c r="AR36" s="112"/>
      <c r="AS36" s="112"/>
      <c r="AT36" s="112"/>
      <c r="AU36" s="112"/>
    </row>
    <row r="37" spans="4:47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I37" s="9"/>
      <c r="J37" s="107">
        <f t="shared" si="15"/>
        <v>853.55403185952468</v>
      </c>
      <c r="K37" s="107">
        <v>0.02</v>
      </c>
      <c r="L37" s="112"/>
      <c r="M37" s="112"/>
      <c r="N37" s="107">
        <f t="shared" si="20"/>
        <v>17.071080637190494</v>
      </c>
      <c r="O37" s="107">
        <f t="shared" si="24"/>
        <v>9.8033801601100787</v>
      </c>
      <c r="P37" s="107"/>
      <c r="Q37" s="112">
        <f t="shared" si="24"/>
        <v>41.741093751676949</v>
      </c>
      <c r="R37" s="112">
        <f t="shared" si="24"/>
        <v>34.814624046158499</v>
      </c>
      <c r="S37" s="107">
        <f t="shared" si="23"/>
        <v>21.421294804000734</v>
      </c>
      <c r="T37" s="112">
        <f t="shared" si="23"/>
        <v>18.648267795942825</v>
      </c>
      <c r="U37" s="112"/>
      <c r="V37" s="107">
        <f t="shared" si="3"/>
        <v>143.49974119507957</v>
      </c>
      <c r="W37" s="112"/>
      <c r="X37" s="107"/>
      <c r="Y37" s="112"/>
      <c r="Z37" s="107"/>
      <c r="AA37" s="112"/>
      <c r="AB37" s="112"/>
      <c r="AC37" s="112"/>
      <c r="AD37" s="107">
        <v>4.2</v>
      </c>
      <c r="AE37" s="112"/>
      <c r="AF37" s="112"/>
      <c r="AG37" s="112"/>
      <c r="AH37" s="112"/>
      <c r="AI37" s="112"/>
      <c r="AJ37" s="107">
        <f t="shared" si="25"/>
        <v>141.16867430558503</v>
      </c>
      <c r="AK37" s="112"/>
      <c r="AL37" s="112"/>
      <c r="AM37" s="107">
        <f t="shared" si="6"/>
        <v>145.36867430558502</v>
      </c>
      <c r="AN37" s="110">
        <f t="shared" si="0"/>
        <v>-1.8689331105054521</v>
      </c>
      <c r="AO37" s="110">
        <f t="shared" si="7"/>
        <v>851.68509874901929</v>
      </c>
      <c r="AP37" s="112"/>
      <c r="AQ37" s="112"/>
      <c r="AR37" s="112"/>
      <c r="AS37" s="112"/>
      <c r="AT37" s="112"/>
      <c r="AU37" s="112"/>
    </row>
    <row r="38" spans="4:47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I38" s="9"/>
      <c r="J38" s="107">
        <f t="shared" si="15"/>
        <v>851.68509874901929</v>
      </c>
      <c r="K38" s="107">
        <v>0.02</v>
      </c>
      <c r="L38" s="112"/>
      <c r="M38" s="112"/>
      <c r="N38" s="107">
        <f t="shared" si="20"/>
        <v>17.033701974980385</v>
      </c>
      <c r="O38" s="107">
        <f t="shared" si="24"/>
        <v>9.9994477633122809</v>
      </c>
      <c r="P38" s="107"/>
      <c r="Q38" s="112">
        <f t="shared" si="24"/>
        <v>42.57591562671049</v>
      </c>
      <c r="R38" s="112">
        <f t="shared" si="24"/>
        <v>35.510916527081669</v>
      </c>
      <c r="S38" s="107">
        <f t="shared" si="23"/>
        <v>21.421294804000734</v>
      </c>
      <c r="T38" s="112">
        <f t="shared" si="23"/>
        <v>18.648267795942825</v>
      </c>
      <c r="U38" s="112"/>
      <c r="V38" s="107">
        <f t="shared" si="3"/>
        <v>145.18954449202838</v>
      </c>
      <c r="W38" s="112"/>
      <c r="X38" s="107"/>
      <c r="Y38" s="112"/>
      <c r="Z38" s="107"/>
      <c r="AA38" s="112"/>
      <c r="AB38" s="112"/>
      <c r="AC38" s="112"/>
      <c r="AD38" s="107">
        <v>4.2</v>
      </c>
      <c r="AE38" s="112"/>
      <c r="AF38" s="112"/>
      <c r="AG38" s="112"/>
      <c r="AH38" s="112"/>
      <c r="AI38" s="112"/>
      <c r="AJ38" s="107">
        <f t="shared" si="25"/>
        <v>143.99204779169673</v>
      </c>
      <c r="AK38" s="112"/>
      <c r="AL38" s="112"/>
      <c r="AM38" s="107">
        <f t="shared" si="6"/>
        <v>148.19204779169672</v>
      </c>
      <c r="AN38" s="110">
        <f t="shared" si="0"/>
        <v>-3.0025032996683478</v>
      </c>
      <c r="AO38" s="110">
        <f t="shared" si="7"/>
        <v>848.68259544935097</v>
      </c>
      <c r="AP38" s="112"/>
      <c r="AQ38" s="112"/>
      <c r="AR38" s="112"/>
      <c r="AS38" s="112"/>
      <c r="AT38" s="112"/>
      <c r="AU38" s="112"/>
    </row>
    <row r="39" spans="4:47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I39" s="9"/>
      <c r="J39" s="107">
        <f t="shared" si="15"/>
        <v>848.68259544935097</v>
      </c>
      <c r="K39" s="107">
        <v>0.02</v>
      </c>
      <c r="L39" s="112"/>
      <c r="M39" s="112"/>
      <c r="N39" s="107">
        <f t="shared" si="20"/>
        <v>16.973651908987019</v>
      </c>
      <c r="O39" s="107">
        <f t="shared" si="24"/>
        <v>10.199436718578527</v>
      </c>
      <c r="P39" s="107"/>
      <c r="Q39" s="112">
        <f t="shared" si="24"/>
        <v>43.4274339392447</v>
      </c>
      <c r="R39" s="112">
        <f t="shared" si="24"/>
        <v>36.221134857623305</v>
      </c>
      <c r="S39" s="107">
        <f t="shared" si="23"/>
        <v>21.421294804000734</v>
      </c>
      <c r="T39" s="112">
        <f t="shared" si="23"/>
        <v>18.648267795942825</v>
      </c>
      <c r="U39" s="112"/>
      <c r="V39" s="107">
        <f t="shared" si="3"/>
        <v>146.89122002437708</v>
      </c>
      <c r="W39" s="112"/>
      <c r="X39" s="107"/>
      <c r="Y39" s="112"/>
      <c r="Z39" s="107"/>
      <c r="AA39" s="112"/>
      <c r="AB39" s="112"/>
      <c r="AC39" s="112"/>
      <c r="AD39" s="112"/>
      <c r="AE39" s="112"/>
      <c r="AF39" s="112"/>
      <c r="AG39" s="112"/>
      <c r="AH39" s="112"/>
      <c r="AI39" s="112"/>
      <c r="AJ39" s="107">
        <f t="shared" si="25"/>
        <v>146.87188874753068</v>
      </c>
      <c r="AK39" s="112"/>
      <c r="AL39" s="112"/>
      <c r="AM39" s="107">
        <f t="shared" si="6"/>
        <v>146.87188874753068</v>
      </c>
      <c r="AN39" s="110">
        <f t="shared" si="0"/>
        <v>1.9331276846401124E-2</v>
      </c>
      <c r="AO39" s="110">
        <f t="shared" si="7"/>
        <v>848.70192672619737</v>
      </c>
      <c r="AP39" s="112"/>
      <c r="AQ39" s="112"/>
      <c r="AR39" s="112"/>
      <c r="AS39" s="112"/>
      <c r="AT39" s="112"/>
      <c r="AU39" s="112"/>
    </row>
    <row r="40" spans="4:47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I40" s="9"/>
      <c r="J40" s="107">
        <f t="shared" si="15"/>
        <v>848.70192672619737</v>
      </c>
      <c r="K40" s="107">
        <v>0.02</v>
      </c>
      <c r="L40" s="112"/>
      <c r="M40" s="112"/>
      <c r="N40" s="107">
        <f t="shared" si="20"/>
        <v>16.974038534523949</v>
      </c>
      <c r="O40" s="107">
        <f t="shared" si="24"/>
        <v>10.403425452950097</v>
      </c>
      <c r="P40" s="107"/>
      <c r="Q40" s="112">
        <f t="shared" si="24"/>
        <v>44.295982618029598</v>
      </c>
      <c r="R40" s="112">
        <f t="shared" si="24"/>
        <v>36.945557554775775</v>
      </c>
      <c r="S40" s="107">
        <f t="shared" si="23"/>
        <v>21.421294804000734</v>
      </c>
      <c r="T40" s="112">
        <f t="shared" si="23"/>
        <v>18.648267795942825</v>
      </c>
      <c r="U40" s="112"/>
      <c r="V40" s="107">
        <f t="shared" si="3"/>
        <v>148.68856676022295</v>
      </c>
      <c r="W40" s="112"/>
      <c r="X40" s="107"/>
      <c r="Y40" s="112"/>
      <c r="Z40" s="107"/>
      <c r="AA40" s="112"/>
      <c r="AB40" s="112"/>
      <c r="AC40" s="112"/>
      <c r="AD40" s="112"/>
      <c r="AE40" s="112"/>
      <c r="AF40" s="112"/>
      <c r="AG40" s="112"/>
      <c r="AH40" s="112"/>
      <c r="AI40" s="112"/>
      <c r="AJ40" s="107">
        <f t="shared" si="25"/>
        <v>149.80932652248129</v>
      </c>
      <c r="AK40" s="112"/>
      <c r="AL40" s="112"/>
      <c r="AM40" s="107">
        <f t="shared" si="6"/>
        <v>149.80932652248129</v>
      </c>
      <c r="AN40" s="110">
        <f t="shared" si="0"/>
        <v>-1.1207597622583307</v>
      </c>
      <c r="AO40" s="110">
        <f t="shared" si="7"/>
        <v>847.58116696393904</v>
      </c>
      <c r="AP40" s="112"/>
      <c r="AQ40" s="112"/>
      <c r="AR40" s="112"/>
      <c r="AS40" s="112"/>
      <c r="AT40" s="112"/>
      <c r="AU40" s="112"/>
    </row>
    <row r="41" spans="4:47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I41" s="9"/>
      <c r="J41" s="107">
        <f t="shared" si="15"/>
        <v>847.58116696393904</v>
      </c>
      <c r="K41" s="107">
        <v>0.02</v>
      </c>
      <c r="L41" s="112"/>
      <c r="M41" s="112"/>
      <c r="N41" s="107">
        <f t="shared" si="20"/>
        <v>16.951623339278783</v>
      </c>
      <c r="O41" s="107">
        <f t="shared" si="24"/>
        <v>10.611493962009099</v>
      </c>
      <c r="P41" s="107"/>
      <c r="Q41" s="112">
        <f t="shared" si="24"/>
        <v>45.181902270390189</v>
      </c>
      <c r="R41" s="112">
        <f t="shared" si="24"/>
        <v>37.684468705871289</v>
      </c>
      <c r="S41" s="107">
        <f t="shared" si="23"/>
        <v>21.421294804000734</v>
      </c>
      <c r="T41" s="112">
        <f t="shared" si="23"/>
        <v>18.648267795942825</v>
      </c>
      <c r="U41" s="112"/>
      <c r="V41" s="107">
        <f t="shared" si="3"/>
        <v>150.49905087749289</v>
      </c>
      <c r="W41" s="112"/>
      <c r="X41" s="107"/>
      <c r="Y41" s="112"/>
      <c r="Z41" s="107"/>
      <c r="AA41" s="112"/>
      <c r="AB41" s="112"/>
      <c r="AC41" s="112"/>
      <c r="AD41" s="112"/>
      <c r="AE41" s="112"/>
      <c r="AF41" s="112"/>
      <c r="AG41" s="112"/>
      <c r="AH41" s="112"/>
      <c r="AI41" s="112"/>
      <c r="AJ41" s="107">
        <f t="shared" si="25"/>
        <v>152.80551305293091</v>
      </c>
      <c r="AK41" s="112"/>
      <c r="AL41" s="112"/>
      <c r="AM41" s="107">
        <f t="shared" si="6"/>
        <v>152.80551305293091</v>
      </c>
      <c r="AN41" s="110">
        <f t="shared" si="0"/>
        <v>-2.3064621754380141</v>
      </c>
      <c r="AO41" s="110">
        <f t="shared" si="7"/>
        <v>845.27470478850103</v>
      </c>
      <c r="AP41" s="112"/>
      <c r="AQ41" s="112"/>
      <c r="AR41" s="112"/>
      <c r="AS41" s="112"/>
      <c r="AT41" s="112"/>
      <c r="AU41" s="112"/>
    </row>
    <row r="42" spans="4:47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I42" s="9"/>
      <c r="J42" s="107">
        <f t="shared" si="15"/>
        <v>845.27470478850103</v>
      </c>
      <c r="K42" s="107">
        <v>0.02</v>
      </c>
      <c r="L42" s="112"/>
      <c r="M42" s="112"/>
      <c r="N42" s="107">
        <f t="shared" si="20"/>
        <v>16.90549409577002</v>
      </c>
      <c r="O42" s="107">
        <f t="shared" si="24"/>
        <v>10.823723841249281</v>
      </c>
      <c r="P42" s="107"/>
      <c r="Q42" s="112">
        <f t="shared" si="24"/>
        <v>46.085540315797992</v>
      </c>
      <c r="R42" s="112">
        <f t="shared" si="24"/>
        <v>38.438158079988717</v>
      </c>
      <c r="S42" s="107">
        <f t="shared" si="23"/>
        <v>21.421294804000734</v>
      </c>
      <c r="T42" s="112">
        <f t="shared" si="23"/>
        <v>18.648267795942825</v>
      </c>
      <c r="U42" s="112"/>
      <c r="V42" s="107">
        <f t="shared" si="3"/>
        <v>152.32247893274953</v>
      </c>
      <c r="W42" s="112"/>
      <c r="X42" s="107"/>
      <c r="Y42" s="112"/>
      <c r="Z42" s="107"/>
      <c r="AA42" s="112"/>
      <c r="AB42" s="112"/>
      <c r="AC42" s="112"/>
      <c r="AD42" s="112"/>
      <c r="AE42" s="112"/>
      <c r="AF42" s="112"/>
      <c r="AG42" s="112"/>
      <c r="AH42" s="112"/>
      <c r="AI42" s="112"/>
      <c r="AJ42" s="107">
        <f t="shared" si="25"/>
        <v>155.86162331398953</v>
      </c>
      <c r="AK42" s="112"/>
      <c r="AL42" s="112"/>
      <c r="AM42" s="107">
        <f t="shared" si="6"/>
        <v>155.86162331398953</v>
      </c>
      <c r="AN42" s="110">
        <f t="shared" si="0"/>
        <v>-3.5391443812399928</v>
      </c>
      <c r="AO42" s="110">
        <f t="shared" si="7"/>
        <v>841.735560407261</v>
      </c>
      <c r="AP42" s="112"/>
      <c r="AQ42" s="112"/>
      <c r="AR42" s="112"/>
      <c r="AS42" s="112"/>
      <c r="AT42" s="112"/>
      <c r="AU42" s="112"/>
    </row>
    <row r="43" spans="4:47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I43" s="9"/>
      <c r="J43" s="107">
        <f t="shared" si="15"/>
        <v>841.735560407261</v>
      </c>
      <c r="K43" s="107">
        <v>0.02</v>
      </c>
      <c r="L43" s="112"/>
      <c r="M43" s="112"/>
      <c r="N43" s="107">
        <f t="shared" si="20"/>
        <v>16.834711208145219</v>
      </c>
      <c r="O43" s="107">
        <f t="shared" si="24"/>
        <v>11.040198318074268</v>
      </c>
      <c r="P43" s="107"/>
      <c r="Q43" s="112">
        <f t="shared" si="24"/>
        <v>47.007251122113949</v>
      </c>
      <c r="R43" s="112">
        <f t="shared" si="24"/>
        <v>39.206921241588489</v>
      </c>
      <c r="S43" s="107">
        <f t="shared" si="23"/>
        <v>21.421294804000734</v>
      </c>
      <c r="T43" s="112">
        <f t="shared" si="23"/>
        <v>18.648267795942825</v>
      </c>
      <c r="U43" s="112"/>
      <c r="V43" s="107">
        <f t="shared" si="3"/>
        <v>154.15864448986548</v>
      </c>
      <c r="W43" s="112"/>
      <c r="X43" s="107"/>
      <c r="Y43" s="112"/>
      <c r="Z43" s="107"/>
      <c r="AA43" s="112"/>
      <c r="AB43" s="112"/>
      <c r="AC43" s="112"/>
      <c r="AD43" s="112"/>
      <c r="AE43" s="112"/>
      <c r="AF43" s="112"/>
      <c r="AG43" s="112"/>
      <c r="AH43" s="112"/>
      <c r="AI43" s="112"/>
      <c r="AJ43" s="107">
        <f t="shared" si="25"/>
        <v>158.97885578026933</v>
      </c>
      <c r="AK43" s="112"/>
      <c r="AL43" s="112"/>
      <c r="AM43" s="107">
        <f t="shared" si="6"/>
        <v>158.97885578026933</v>
      </c>
      <c r="AN43" s="110">
        <f t="shared" si="0"/>
        <v>-4.8202112904038472</v>
      </c>
      <c r="AO43" s="110">
        <f t="shared" si="7"/>
        <v>836.91534911685721</v>
      </c>
      <c r="AP43" s="112"/>
      <c r="AQ43" s="112"/>
      <c r="AR43" s="112"/>
      <c r="AS43" s="112"/>
      <c r="AT43" s="112"/>
      <c r="AU43" s="112"/>
    </row>
    <row r="44" spans="4:47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I44" s="9"/>
      <c r="J44" s="107">
        <f t="shared" si="15"/>
        <v>836.91534911685721</v>
      </c>
      <c r="K44" s="107">
        <v>0.02</v>
      </c>
      <c r="L44" s="112"/>
      <c r="M44" s="112"/>
      <c r="N44" s="107">
        <f t="shared" si="20"/>
        <v>16.738306982337143</v>
      </c>
      <c r="O44" s="107">
        <f t="shared" si="24"/>
        <v>11.261002284435753</v>
      </c>
      <c r="P44" s="107"/>
      <c r="Q44" s="112">
        <f t="shared" si="24"/>
        <v>47.94739614455623</v>
      </c>
      <c r="R44" s="112">
        <f t="shared" si="24"/>
        <v>39.991059666420263</v>
      </c>
      <c r="S44" s="107">
        <f t="shared" si="23"/>
        <v>21.421294804000734</v>
      </c>
      <c r="T44" s="112">
        <f t="shared" si="23"/>
        <v>18.648267795942825</v>
      </c>
      <c r="U44" s="112"/>
      <c r="V44" s="107">
        <f t="shared" si="3"/>
        <v>156.00732767769293</v>
      </c>
      <c r="W44" s="112"/>
      <c r="X44" s="107"/>
      <c r="Y44" s="112"/>
      <c r="Z44" s="107"/>
      <c r="AA44" s="112"/>
      <c r="AB44" s="112"/>
      <c r="AC44" s="112"/>
      <c r="AD44" s="112"/>
      <c r="AE44" s="112"/>
      <c r="AF44" s="112"/>
      <c r="AG44" s="112"/>
      <c r="AH44" s="112"/>
      <c r="AI44" s="112"/>
      <c r="AJ44" s="107">
        <f t="shared" si="25"/>
        <v>162.15843289587471</v>
      </c>
      <c r="AK44" s="112"/>
      <c r="AL44" s="112"/>
      <c r="AM44" s="107">
        <f t="shared" si="6"/>
        <v>162.15843289587471</v>
      </c>
      <c r="AN44" s="110">
        <f t="shared" si="0"/>
        <v>-6.1511052181817831</v>
      </c>
      <c r="AO44" s="110">
        <f t="shared" si="7"/>
        <v>830.76424389867543</v>
      </c>
      <c r="AP44" s="112"/>
      <c r="AQ44" s="112"/>
      <c r="AR44" s="112"/>
      <c r="AS44" s="112"/>
      <c r="AT44" s="112"/>
      <c r="AU44" s="112"/>
    </row>
    <row r="45" spans="4:47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I45" s="9"/>
      <c r="J45" s="107">
        <f t="shared" si="15"/>
        <v>830.76424389867543</v>
      </c>
      <c r="K45" s="107">
        <v>0.02</v>
      </c>
      <c r="L45" s="112"/>
      <c r="M45" s="112"/>
      <c r="N45" s="107">
        <f t="shared" si="20"/>
        <v>16.615284877973508</v>
      </c>
      <c r="O45" s="107">
        <f t="shared" si="24"/>
        <v>11.486222330124468</v>
      </c>
      <c r="P45" s="107"/>
      <c r="Q45" s="112">
        <f t="shared" si="24"/>
        <v>48.906344067447357</v>
      </c>
      <c r="R45" s="112">
        <f t="shared" si="24"/>
        <v>40.790880859748668</v>
      </c>
      <c r="S45" s="107">
        <f t="shared" si="23"/>
        <v>21.421294804000734</v>
      </c>
      <c r="T45" s="112">
        <f t="shared" si="23"/>
        <v>18.648267795942825</v>
      </c>
      <c r="U45" s="112"/>
      <c r="V45" s="107">
        <f t="shared" si="3"/>
        <v>157.86829473523755</v>
      </c>
      <c r="W45" s="112"/>
      <c r="X45" s="107"/>
      <c r="Y45" s="112"/>
      <c r="Z45" s="107"/>
      <c r="AA45" s="112"/>
      <c r="AB45" s="112"/>
      <c r="AC45" s="112"/>
      <c r="AD45" s="112"/>
      <c r="AE45" s="112"/>
      <c r="AF45" s="112"/>
      <c r="AG45" s="112"/>
      <c r="AH45" s="112"/>
      <c r="AI45" s="112"/>
      <c r="AJ45" s="107">
        <f t="shared" si="25"/>
        <v>165.4016015537922</v>
      </c>
      <c r="AK45" s="112"/>
      <c r="AL45" s="112"/>
      <c r="AM45" s="107">
        <f t="shared" si="6"/>
        <v>165.4016015537922</v>
      </c>
      <c r="AN45" s="110">
        <f t="shared" si="0"/>
        <v>-7.5333068185546495</v>
      </c>
      <c r="AO45" s="110">
        <f t="shared" si="7"/>
        <v>823.23093708012084</v>
      </c>
      <c r="AP45" s="112"/>
      <c r="AQ45" s="112"/>
      <c r="AR45" s="112"/>
      <c r="AS45" s="112"/>
      <c r="AT45" s="112"/>
      <c r="AU45" s="112"/>
    </row>
    <row r="46" spans="4:47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I46" s="9"/>
      <c r="J46" s="107">
        <f t="shared" si="15"/>
        <v>823.23093708012084</v>
      </c>
      <c r="K46" s="107">
        <v>0.02</v>
      </c>
      <c r="L46" s="112"/>
      <c r="M46" s="112"/>
      <c r="N46" s="107">
        <f t="shared" si="20"/>
        <v>16.464618741602418</v>
      </c>
      <c r="O46" s="107">
        <f t="shared" si="24"/>
        <v>11.715946776726957</v>
      </c>
      <c r="P46" s="107"/>
      <c r="Q46" s="112">
        <f t="shared" si="24"/>
        <v>49.884470948796306</v>
      </c>
      <c r="R46" s="112">
        <f t="shared" si="24"/>
        <v>41.606698476943642</v>
      </c>
      <c r="S46" s="107">
        <f t="shared" ref="S46:T47" si="26">S45</f>
        <v>21.421294804000734</v>
      </c>
      <c r="T46" s="112">
        <f t="shared" si="26"/>
        <v>18.648267795942825</v>
      </c>
      <c r="U46" s="112"/>
      <c r="V46" s="107">
        <f t="shared" si="3"/>
        <v>159.74129754401287</v>
      </c>
      <c r="W46" s="112"/>
      <c r="X46" s="107"/>
      <c r="Y46" s="112"/>
      <c r="Z46" s="107"/>
      <c r="AA46" s="112"/>
      <c r="AB46" s="112"/>
      <c r="AC46" s="112"/>
      <c r="AD46" s="112"/>
      <c r="AE46" s="112"/>
      <c r="AF46" s="112"/>
      <c r="AG46" s="112"/>
      <c r="AH46" s="112"/>
      <c r="AI46" s="112"/>
      <c r="AJ46" s="107">
        <f t="shared" si="25"/>
        <v>168.70963358486804</v>
      </c>
      <c r="AK46" s="112"/>
      <c r="AL46" s="112"/>
      <c r="AM46" s="107">
        <f t="shared" si="6"/>
        <v>168.70963358486804</v>
      </c>
      <c r="AN46" s="110">
        <f t="shared" si="0"/>
        <v>-8.9683360408551778</v>
      </c>
      <c r="AO46" s="110">
        <f t="shared" si="7"/>
        <v>814.26260103926563</v>
      </c>
      <c r="AP46" s="112"/>
      <c r="AQ46" s="112"/>
      <c r="AR46" s="112"/>
      <c r="AS46" s="112"/>
      <c r="AT46" s="112"/>
      <c r="AU46" s="112"/>
    </row>
    <row r="47" spans="4:47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I47" s="9"/>
      <c r="J47" s="107">
        <f t="shared" si="15"/>
        <v>814.26260103926563</v>
      </c>
      <c r="K47" s="107">
        <v>0.02</v>
      </c>
      <c r="L47" s="112"/>
      <c r="M47" s="112"/>
      <c r="N47" s="107">
        <f t="shared" si="20"/>
        <v>16.285252020785315</v>
      </c>
      <c r="O47" s="107">
        <f t="shared" ref="O47:R53" si="27">O46*(1+$B$3)</f>
        <v>11.950265712261496</v>
      </c>
      <c r="P47" s="107"/>
      <c r="Q47" s="112">
        <f t="shared" si="27"/>
        <v>50.882160367772229</v>
      </c>
      <c r="R47" s="112">
        <f t="shared" si="27"/>
        <v>42.438832446482515</v>
      </c>
      <c r="S47" s="107">
        <f t="shared" si="26"/>
        <v>21.421294804000734</v>
      </c>
      <c r="T47" s="112">
        <f t="shared" si="26"/>
        <v>18.648267795942825</v>
      </c>
      <c r="U47" s="112"/>
      <c r="V47" s="107">
        <f t="shared" si="3"/>
        <v>161.62607314724508</v>
      </c>
      <c r="W47" s="112"/>
      <c r="X47" s="107"/>
      <c r="Y47" s="112"/>
      <c r="Z47" s="107"/>
      <c r="AA47" s="112"/>
      <c r="AB47" s="112"/>
      <c r="AC47" s="112"/>
      <c r="AD47" s="112"/>
      <c r="AE47" s="112"/>
      <c r="AF47" s="112"/>
      <c r="AG47" s="112"/>
      <c r="AH47" s="112"/>
      <c r="AI47" s="112"/>
      <c r="AJ47" s="107">
        <f t="shared" si="25"/>
        <v>172.0838262565654</v>
      </c>
      <c r="AK47" s="112"/>
      <c r="AL47" s="112"/>
      <c r="AM47" s="107">
        <f t="shared" si="6"/>
        <v>172.0838262565654</v>
      </c>
      <c r="AN47" s="110">
        <f t="shared" si="0"/>
        <v>-10.457753109320322</v>
      </c>
      <c r="AO47" s="110">
        <f t="shared" si="7"/>
        <v>803.80484792994525</v>
      </c>
      <c r="AP47" s="112"/>
      <c r="AQ47" s="112"/>
      <c r="AR47" s="112"/>
      <c r="AS47" s="112"/>
      <c r="AT47" s="112"/>
      <c r="AU47" s="112"/>
    </row>
    <row r="48" spans="4:47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I48" s="9"/>
      <c r="J48" s="107">
        <f t="shared" si="15"/>
        <v>803.80484792994525</v>
      </c>
      <c r="K48" s="107">
        <v>0.02</v>
      </c>
      <c r="L48" s="112"/>
      <c r="M48" s="112"/>
      <c r="N48" s="107">
        <f t="shared" si="20"/>
        <v>16.076096958598907</v>
      </c>
      <c r="O48" s="107">
        <f t="shared" si="27"/>
        <v>12.189271026506725</v>
      </c>
      <c r="P48" s="107"/>
      <c r="Q48" s="112">
        <f t="shared" si="27"/>
        <v>51.899803575127677</v>
      </c>
      <c r="R48" s="112">
        <f t="shared" si="27"/>
        <v>43.287609095412165</v>
      </c>
      <c r="S48" s="107"/>
      <c r="T48" s="112"/>
      <c r="U48" s="112"/>
      <c r="V48" s="107">
        <f t="shared" si="3"/>
        <v>123.45278065564548</v>
      </c>
      <c r="W48" s="112"/>
      <c r="X48" s="107"/>
      <c r="Y48" s="112"/>
      <c r="Z48" s="107"/>
      <c r="AA48" s="112"/>
      <c r="AB48" s="112"/>
      <c r="AC48" s="112"/>
      <c r="AD48" s="112"/>
      <c r="AE48" s="112"/>
      <c r="AF48" s="112"/>
      <c r="AG48" s="112"/>
      <c r="AH48" s="112"/>
      <c r="AI48" s="112"/>
      <c r="AJ48" s="107">
        <f t="shared" si="25"/>
        <v>175.5255027816967</v>
      </c>
      <c r="AK48" s="112"/>
      <c r="AL48" s="112"/>
      <c r="AM48" s="107">
        <f t="shared" si="6"/>
        <v>175.5255027816967</v>
      </c>
      <c r="AN48" s="110">
        <f t="shared" si="0"/>
        <v>-52.072722126051218</v>
      </c>
      <c r="AO48" s="110">
        <f t="shared" si="7"/>
        <v>751.73212580389406</v>
      </c>
      <c r="AP48" s="112"/>
      <c r="AQ48" s="112"/>
      <c r="AR48" s="112"/>
      <c r="AS48" s="112"/>
      <c r="AT48" s="112"/>
      <c r="AU48" s="112"/>
    </row>
    <row r="49" spans="4:47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I49" s="9"/>
      <c r="J49" s="107">
        <f t="shared" si="15"/>
        <v>751.73212580389406</v>
      </c>
      <c r="K49" s="107">
        <v>0.02</v>
      </c>
      <c r="L49" s="112"/>
      <c r="M49" s="112"/>
      <c r="N49" s="107">
        <f t="shared" si="20"/>
        <v>15.034642516077881</v>
      </c>
      <c r="O49" s="107">
        <f t="shared" si="27"/>
        <v>12.43305644703686</v>
      </c>
      <c r="P49" s="107"/>
      <c r="Q49" s="112">
        <f t="shared" si="27"/>
        <v>52.937799646630232</v>
      </c>
      <c r="R49" s="112">
        <f t="shared" si="27"/>
        <v>44.153361277320407</v>
      </c>
      <c r="S49" s="107"/>
      <c r="T49" s="112"/>
      <c r="U49" s="112"/>
      <c r="V49" s="107">
        <f t="shared" si="3"/>
        <v>124.55885988706538</v>
      </c>
      <c r="W49" s="112"/>
      <c r="X49" s="107"/>
      <c r="Y49" s="112"/>
      <c r="Z49" s="107"/>
      <c r="AA49" s="112"/>
      <c r="AB49" s="112"/>
      <c r="AC49" s="112"/>
      <c r="AD49" s="112"/>
      <c r="AE49" s="112"/>
      <c r="AF49" s="112"/>
      <c r="AG49" s="112"/>
      <c r="AH49" s="112"/>
      <c r="AI49" s="112"/>
      <c r="AJ49" s="107">
        <f t="shared" si="25"/>
        <v>179.03601283733065</v>
      </c>
      <c r="AK49" s="112"/>
      <c r="AL49" s="112"/>
      <c r="AM49" s="107">
        <f t="shared" si="6"/>
        <v>179.03601283733065</v>
      </c>
      <c r="AN49" s="110">
        <f t="shared" si="0"/>
        <v>-54.477152950265264</v>
      </c>
      <c r="AO49" s="110">
        <f t="shared" si="7"/>
        <v>697.25497285362883</v>
      </c>
      <c r="AP49" s="112"/>
      <c r="AQ49" s="112"/>
      <c r="AR49" s="112"/>
      <c r="AS49" s="112"/>
      <c r="AT49" s="112"/>
      <c r="AU49" s="112"/>
    </row>
    <row r="50" spans="4:47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I50" s="9"/>
      <c r="J50" s="107">
        <f t="shared" si="15"/>
        <v>697.25497285362883</v>
      </c>
      <c r="K50" s="107">
        <v>0.02</v>
      </c>
      <c r="L50" s="112"/>
      <c r="M50" s="112"/>
      <c r="N50" s="107">
        <f t="shared" si="20"/>
        <v>13.945099457072576</v>
      </c>
      <c r="O50" s="107">
        <f t="shared" si="27"/>
        <v>12.681717575977597</v>
      </c>
      <c r="P50" s="107"/>
      <c r="Q50" s="112">
        <f t="shared" si="27"/>
        <v>53.996555639562835</v>
      </c>
      <c r="R50" s="112">
        <f t="shared" si="27"/>
        <v>45.036428502866819</v>
      </c>
      <c r="S50" s="107"/>
      <c r="T50" s="112"/>
      <c r="U50" s="112"/>
      <c r="V50" s="107">
        <f t="shared" si="3"/>
        <v>125.65980117547983</v>
      </c>
      <c r="W50" s="112"/>
      <c r="X50" s="107"/>
      <c r="Y50" s="112"/>
      <c r="Z50" s="107"/>
      <c r="AA50" s="112"/>
      <c r="AB50" s="112"/>
      <c r="AC50" s="112"/>
      <c r="AD50" s="112"/>
      <c r="AE50" s="112"/>
      <c r="AF50" s="112"/>
      <c r="AG50" s="112"/>
      <c r="AH50" s="112"/>
      <c r="AI50" s="112"/>
      <c r="AJ50" s="107">
        <f t="shared" si="25"/>
        <v>182.61673309407726</v>
      </c>
      <c r="AK50" s="112"/>
      <c r="AL50" s="112"/>
      <c r="AM50" s="107">
        <f t="shared" si="6"/>
        <v>182.61673309407726</v>
      </c>
      <c r="AN50" s="110">
        <f t="shared" si="0"/>
        <v>-56.956931918597434</v>
      </c>
      <c r="AO50" s="110">
        <f t="shared" si="7"/>
        <v>640.29804093503139</v>
      </c>
      <c r="AP50" s="112"/>
      <c r="AQ50" s="112"/>
      <c r="AR50" s="112"/>
      <c r="AS50" s="112"/>
      <c r="AT50" s="112"/>
      <c r="AU50" s="112"/>
    </row>
    <row r="51" spans="4:47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I51" s="9"/>
      <c r="J51" s="107">
        <f t="shared" si="15"/>
        <v>640.29804093503139</v>
      </c>
      <c r="K51" s="107">
        <v>0.02</v>
      </c>
      <c r="L51" s="112"/>
      <c r="M51" s="112"/>
      <c r="N51" s="107">
        <f t="shared" si="20"/>
        <v>12.805960818700628</v>
      </c>
      <c r="O51" s="107">
        <f t="shared" si="27"/>
        <v>12.93535192749715</v>
      </c>
      <c r="P51" s="107"/>
      <c r="Q51" s="112">
        <f t="shared" si="27"/>
        <v>55.076486752354093</v>
      </c>
      <c r="R51" s="112">
        <f t="shared" si="27"/>
        <v>45.937157072924158</v>
      </c>
      <c r="S51" s="107"/>
      <c r="T51" s="112"/>
      <c r="U51" s="112"/>
      <c r="V51" s="107">
        <f t="shared" si="3"/>
        <v>126.75495657147601</v>
      </c>
      <c r="W51" s="112"/>
      <c r="X51" s="107"/>
      <c r="Y51" s="112"/>
      <c r="Z51" s="107"/>
      <c r="AA51" s="112"/>
      <c r="AB51" s="112"/>
      <c r="AC51" s="112"/>
      <c r="AD51" s="112"/>
      <c r="AE51" s="112"/>
      <c r="AF51" s="112"/>
      <c r="AG51" s="112"/>
      <c r="AH51" s="112"/>
      <c r="AI51" s="112"/>
      <c r="AJ51" s="107">
        <f t="shared" si="25"/>
        <v>186.26906775595882</v>
      </c>
      <c r="AK51" s="112"/>
      <c r="AL51" s="112"/>
      <c r="AM51" s="107">
        <f t="shared" si="6"/>
        <v>186.26906775595882</v>
      </c>
      <c r="AN51" s="110">
        <f t="shared" si="0"/>
        <v>-59.5141111844828</v>
      </c>
      <c r="AO51" s="110">
        <f t="shared" si="7"/>
        <v>580.78392975054862</v>
      </c>
      <c r="AP51" s="112"/>
      <c r="AQ51" s="112"/>
      <c r="AR51" s="112"/>
      <c r="AS51" s="112"/>
      <c r="AT51" s="112"/>
      <c r="AU51" s="112"/>
    </row>
    <row r="52" spans="4:47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I52" s="9"/>
      <c r="J52" s="107">
        <f t="shared" si="15"/>
        <v>580.78392975054862</v>
      </c>
      <c r="K52" s="107">
        <v>0.02</v>
      </c>
      <c r="L52" s="112"/>
      <c r="M52" s="112"/>
      <c r="N52" s="107">
        <f t="shared" si="20"/>
        <v>11.615678595010973</v>
      </c>
      <c r="O52" s="107">
        <f t="shared" si="27"/>
        <v>13.194058966047093</v>
      </c>
      <c r="P52" s="107"/>
      <c r="Q52" s="112">
        <f t="shared" si="27"/>
        <v>56.178016487401173</v>
      </c>
      <c r="R52" s="112">
        <f t="shared" si="27"/>
        <v>46.855900214382643</v>
      </c>
      <c r="S52" s="107"/>
      <c r="T52" s="112"/>
      <c r="U52" s="112"/>
      <c r="V52" s="107">
        <f t="shared" si="3"/>
        <v>127.84365426284188</v>
      </c>
      <c r="W52" s="112"/>
      <c r="X52" s="107"/>
      <c r="Y52" s="112"/>
      <c r="Z52" s="107"/>
      <c r="AA52" s="112"/>
      <c r="AB52" s="112"/>
      <c r="AC52" s="112"/>
      <c r="AD52" s="112"/>
      <c r="AE52" s="112"/>
      <c r="AF52" s="112"/>
      <c r="AG52" s="112"/>
      <c r="AH52" s="112"/>
      <c r="AI52" s="112"/>
      <c r="AJ52" s="107">
        <f t="shared" si="25"/>
        <v>189.99444911107798</v>
      </c>
      <c r="AK52" s="112"/>
      <c r="AL52" s="112"/>
      <c r="AM52" s="107">
        <f t="shared" si="6"/>
        <v>189.99444911107798</v>
      </c>
      <c r="AN52" s="110">
        <f t="shared" si="0"/>
        <v>-62.150794848236103</v>
      </c>
      <c r="AO52" s="110">
        <f t="shared" si="7"/>
        <v>518.63313490231258</v>
      </c>
      <c r="AP52" s="112"/>
      <c r="AQ52" s="112"/>
      <c r="AR52" s="112"/>
      <c r="AS52" s="112"/>
      <c r="AT52" s="112"/>
      <c r="AU52" s="112"/>
    </row>
    <row r="53" spans="4:47" x14ac:dyDescent="0.3">
      <c r="D53" s="94">
        <v>50</v>
      </c>
      <c r="E53" s="94">
        <v>90</v>
      </c>
      <c r="F53" s="94">
        <v>90</v>
      </c>
      <c r="G53" s="94">
        <v>63</v>
      </c>
      <c r="H53" s="94">
        <v>61</v>
      </c>
      <c r="I53" s="9"/>
      <c r="J53" s="107">
        <f t="shared" si="15"/>
        <v>518.63313490231258</v>
      </c>
      <c r="K53" s="107">
        <v>0.02</v>
      </c>
      <c r="L53" s="112"/>
      <c r="M53" s="112"/>
      <c r="N53" s="107">
        <f t="shared" si="20"/>
        <v>10.372662698046252</v>
      </c>
      <c r="O53" s="107">
        <f t="shared" si="27"/>
        <v>13.457940145368035</v>
      </c>
      <c r="P53" s="107"/>
      <c r="Q53" s="112">
        <f t="shared" si="27"/>
        <v>57.301576817149197</v>
      </c>
      <c r="R53" s="112">
        <f t="shared" si="27"/>
        <v>47.793018218670298</v>
      </c>
      <c r="S53" s="112"/>
      <c r="T53" s="112"/>
      <c r="U53" s="112"/>
      <c r="V53" s="107">
        <f>SUM(L53:U53)</f>
        <v>128.92519787923379</v>
      </c>
      <c r="W53" s="112"/>
      <c r="X53" s="107"/>
      <c r="Y53" s="112"/>
      <c r="Z53" s="107"/>
      <c r="AA53" s="112"/>
      <c r="AB53" s="112"/>
      <c r="AC53" s="112"/>
      <c r="AD53" s="112"/>
      <c r="AE53" s="112"/>
      <c r="AF53" s="112"/>
      <c r="AG53" s="112"/>
      <c r="AH53" s="112"/>
      <c r="AI53" s="112"/>
      <c r="AJ53" s="107">
        <f t="shared" si="25"/>
        <v>193.79433809329956</v>
      </c>
      <c r="AK53" s="112"/>
      <c r="AL53" s="112"/>
      <c r="AM53" s="107">
        <f t="shared" si="6"/>
        <v>193.79433809329956</v>
      </c>
      <c r="AN53" s="110">
        <f t="shared" si="0"/>
        <v>-64.869140214065766</v>
      </c>
      <c r="AO53" s="110">
        <f t="shared" si="7"/>
        <v>453.76399468824684</v>
      </c>
      <c r="AP53" s="112"/>
      <c r="AQ53" s="112"/>
      <c r="AR53" s="112"/>
      <c r="AS53" s="112"/>
      <c r="AT53" s="112"/>
      <c r="AU53" s="112"/>
    </row>
  </sheetData>
  <mergeCells count="25">
    <mergeCell ref="N1:N2"/>
    <mergeCell ref="O1:O2"/>
    <mergeCell ref="P1:P2"/>
    <mergeCell ref="D1:D2"/>
    <mergeCell ref="E1:E2"/>
    <mergeCell ref="F1:F2"/>
    <mergeCell ref="G1:G2"/>
    <mergeCell ref="H1:H2"/>
    <mergeCell ref="I1:I2"/>
    <mergeCell ref="AS1:AT1"/>
    <mergeCell ref="A1:B1"/>
    <mergeCell ref="W1:AK1"/>
    <mergeCell ref="AL1:AL2"/>
    <mergeCell ref="AM1:AM2"/>
    <mergeCell ref="AN1:AN2"/>
    <mergeCell ref="AO1:AO2"/>
    <mergeCell ref="AQ1:AR1"/>
    <mergeCell ref="Q1:Q2"/>
    <mergeCell ref="R1:R2"/>
    <mergeCell ref="S1:S2"/>
    <mergeCell ref="T1:T2"/>
    <mergeCell ref="U1:U2"/>
    <mergeCell ref="V1:V2"/>
    <mergeCell ref="J1:J2"/>
    <mergeCell ref="L1:M1"/>
  </mergeCells>
  <phoneticPr fontId="1" type="noConversion"/>
  <conditionalFormatting sqref="AO3:AO1048576">
    <cfRule type="cellIs" dxfId="5" priority="2" operator="lessThan">
      <formula>0</formula>
    </cfRule>
  </conditionalFormatting>
  <conditionalFormatting sqref="AO1:AO2">
    <cfRule type="cellIs" dxfId="4" priority="1" operator="lessThan">
      <formula>0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6390F-DC07-4E3B-BE55-08A112FE9AF5}">
  <dimension ref="A1:AX53"/>
  <sheetViews>
    <sheetView workbookViewId="0">
      <selection sqref="A1:B1"/>
    </sheetView>
  </sheetViews>
  <sheetFormatPr defaultRowHeight="14.5" x14ac:dyDescent="0.3"/>
  <cols>
    <col min="1" max="1" width="23.59765625" bestFit="1" customWidth="1"/>
    <col min="2" max="2" width="7.19921875" customWidth="1"/>
    <col min="4" max="8" width="6" bestFit="1" customWidth="1"/>
    <col min="9" max="9" width="36.59765625" bestFit="1" customWidth="1"/>
    <col min="10" max="11" width="10.5" customWidth="1"/>
    <col min="12" max="24" width="8.19921875" customWidth="1"/>
    <col min="25" max="25" width="6" customWidth="1"/>
    <col min="26" max="26" width="10.5" customWidth="1"/>
    <col min="27" max="27" width="6" customWidth="1"/>
    <col min="28" max="28" width="10.5" customWidth="1"/>
    <col min="29" max="37" width="6" customWidth="1"/>
    <col min="38" max="38" width="10.5" customWidth="1"/>
    <col min="39" max="39" width="9.296875" customWidth="1"/>
    <col min="40" max="40" width="8.19921875" customWidth="1"/>
    <col min="41" max="41" width="7" bestFit="1" customWidth="1"/>
    <col min="42" max="42" width="6.5" style="2" bestFit="1" customWidth="1"/>
    <col min="43" max="43" width="10.5" bestFit="1" customWidth="1"/>
    <col min="44" max="44" width="11" bestFit="1" customWidth="1"/>
    <col min="45" max="45" width="9" customWidth="1"/>
    <col min="49" max="49" width="10.09765625" customWidth="1"/>
    <col min="50" max="50" width="18" customWidth="1"/>
  </cols>
  <sheetData>
    <row r="1" spans="1:50" ht="14.5" customHeight="1" x14ac:dyDescent="0.3">
      <c r="A1" s="196" t="s">
        <v>347</v>
      </c>
      <c r="B1" s="196"/>
      <c r="C1" s="40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K1" s="213" t="s">
        <v>391</v>
      </c>
      <c r="L1" s="189" t="s">
        <v>297</v>
      </c>
      <c r="M1" s="213" t="s">
        <v>392</v>
      </c>
      <c r="N1" s="196" t="s">
        <v>298</v>
      </c>
      <c r="O1" s="196"/>
      <c r="P1" s="187" t="s">
        <v>299</v>
      </c>
      <c r="Q1" s="187" t="s">
        <v>300</v>
      </c>
      <c r="R1" s="187" t="s">
        <v>301</v>
      </c>
      <c r="S1" s="187" t="s">
        <v>302</v>
      </c>
      <c r="T1" s="187" t="s">
        <v>303</v>
      </c>
      <c r="U1" s="187" t="s">
        <v>304</v>
      </c>
      <c r="V1" s="187" t="s">
        <v>305</v>
      </c>
      <c r="W1" s="189" t="s">
        <v>306</v>
      </c>
      <c r="X1" s="213" t="s">
        <v>397</v>
      </c>
      <c r="Y1" s="196" t="s">
        <v>307</v>
      </c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204" t="s">
        <v>154</v>
      </c>
      <c r="AO1" s="189" t="s">
        <v>308</v>
      </c>
      <c r="AP1" s="189" t="s">
        <v>309</v>
      </c>
      <c r="AQ1" s="214" t="s">
        <v>393</v>
      </c>
      <c r="AR1" s="211" t="s">
        <v>394</v>
      </c>
      <c r="AS1" s="107"/>
      <c r="AT1" s="203" t="s">
        <v>140</v>
      </c>
      <c r="AU1" s="203"/>
      <c r="AV1" s="203" t="s">
        <v>141</v>
      </c>
      <c r="AW1" s="203"/>
      <c r="AX1" s="131" t="s">
        <v>153</v>
      </c>
    </row>
    <row r="2" spans="1:50" ht="14.5" customHeight="1" x14ac:dyDescent="0.3">
      <c r="A2" s="100" t="s">
        <v>205</v>
      </c>
      <c r="B2" s="101" t="s">
        <v>349</v>
      </c>
      <c r="C2" s="40"/>
      <c r="D2" s="192"/>
      <c r="E2" s="192"/>
      <c r="F2" s="192"/>
      <c r="G2" s="192"/>
      <c r="H2" s="192"/>
      <c r="I2" s="192"/>
      <c r="J2" s="190"/>
      <c r="K2" s="216"/>
      <c r="L2" s="190"/>
      <c r="M2" s="216"/>
      <c r="N2" s="91" t="s">
        <v>315</v>
      </c>
      <c r="O2" s="91" t="s">
        <v>316</v>
      </c>
      <c r="P2" s="188"/>
      <c r="Q2" s="188"/>
      <c r="R2" s="188"/>
      <c r="S2" s="188"/>
      <c r="T2" s="188"/>
      <c r="U2" s="188"/>
      <c r="V2" s="188"/>
      <c r="W2" s="190"/>
      <c r="X2" s="213"/>
      <c r="Y2" s="91" t="s">
        <v>317</v>
      </c>
      <c r="Z2" s="91" t="s">
        <v>318</v>
      </c>
      <c r="AA2" s="91" t="s">
        <v>319</v>
      </c>
      <c r="AB2" s="91" t="s">
        <v>320</v>
      </c>
      <c r="AC2" s="91" t="s">
        <v>321</v>
      </c>
      <c r="AD2" s="91" t="s">
        <v>322</v>
      </c>
      <c r="AE2" s="91" t="s">
        <v>323</v>
      </c>
      <c r="AF2" s="91" t="s">
        <v>324</v>
      </c>
      <c r="AG2" s="91" t="s">
        <v>325</v>
      </c>
      <c r="AH2" s="91" t="s">
        <v>326</v>
      </c>
      <c r="AI2" s="91" t="s">
        <v>327</v>
      </c>
      <c r="AJ2" s="91" t="s">
        <v>328</v>
      </c>
      <c r="AK2" s="91" t="s">
        <v>329</v>
      </c>
      <c r="AL2" s="91" t="s">
        <v>330</v>
      </c>
      <c r="AM2" s="91" t="s">
        <v>331</v>
      </c>
      <c r="AN2" s="205"/>
      <c r="AO2" s="190"/>
      <c r="AP2" s="190"/>
      <c r="AQ2" s="215"/>
      <c r="AR2" s="212"/>
      <c r="AS2" s="107"/>
      <c r="AT2" s="87" t="s">
        <v>138</v>
      </c>
      <c r="AU2" s="87" t="s">
        <v>139</v>
      </c>
      <c r="AV2" s="87" t="s">
        <v>138</v>
      </c>
      <c r="AW2" s="87" t="s">
        <v>139</v>
      </c>
      <c r="AX2" s="87" t="s">
        <v>138</v>
      </c>
    </row>
    <row r="3" spans="1:50" x14ac:dyDescent="0.3">
      <c r="A3" s="40" t="s">
        <v>386</v>
      </c>
      <c r="B3" s="102">
        <v>0.02</v>
      </c>
      <c r="C3" s="40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40"/>
      <c r="J3" s="107"/>
      <c r="K3" s="107"/>
      <c r="L3" s="107"/>
      <c r="M3" s="107"/>
      <c r="N3" s="107">
        <v>54</v>
      </c>
      <c r="O3" s="107">
        <v>84</v>
      </c>
      <c r="P3" s="107">
        <v>2</v>
      </c>
      <c r="Q3" s="107">
        <v>5</v>
      </c>
      <c r="R3" s="107"/>
      <c r="S3" s="107"/>
      <c r="T3" s="107"/>
      <c r="U3" s="107"/>
      <c r="V3" s="107"/>
      <c r="W3" s="107">
        <f t="shared" ref="W3:W53" si="0">SUM(N3:V3)</f>
        <v>145</v>
      </c>
      <c r="X3" s="107">
        <f>SUM(N3:Q3)</f>
        <v>145</v>
      </c>
      <c r="Y3" s="107">
        <v>38.4</v>
      </c>
      <c r="Z3" s="107">
        <v>5</v>
      </c>
      <c r="AA3" s="107">
        <v>12</v>
      </c>
      <c r="AB3" s="107">
        <v>3</v>
      </c>
      <c r="AC3" s="107">
        <v>22.8</v>
      </c>
      <c r="AD3" s="107">
        <v>4.08</v>
      </c>
      <c r="AE3" s="107">
        <v>4.5</v>
      </c>
      <c r="AF3" s="107">
        <v>13.6</v>
      </c>
      <c r="AG3" s="107">
        <v>4.88</v>
      </c>
      <c r="AH3" s="107">
        <v>3.8</v>
      </c>
      <c r="AI3" s="107">
        <v>13</v>
      </c>
      <c r="AJ3" s="107">
        <v>12</v>
      </c>
      <c r="AK3" s="107">
        <v>6.2</v>
      </c>
      <c r="AL3" s="107"/>
      <c r="AM3" s="107"/>
      <c r="AN3" s="107"/>
      <c r="AO3" s="107">
        <f>SUM(Y3:AN3)</f>
        <v>143.26</v>
      </c>
      <c r="AP3" s="110">
        <f t="shared" ref="AP3:AP53" si="1">W3-AO3</f>
        <v>1.7400000000000091</v>
      </c>
      <c r="AQ3" s="110">
        <v>55</v>
      </c>
      <c r="AR3" s="107">
        <f>AQ3</f>
        <v>55</v>
      </c>
      <c r="AS3" s="107"/>
      <c r="AT3" s="9"/>
      <c r="AU3" s="9"/>
      <c r="AV3" s="9">
        <v>90</v>
      </c>
      <c r="AW3" s="9">
        <v>90</v>
      </c>
      <c r="AX3" s="9">
        <v>50</v>
      </c>
    </row>
    <row r="4" spans="1:50" x14ac:dyDescent="0.3">
      <c r="A4" s="40" t="s">
        <v>387</v>
      </c>
      <c r="B4" s="102">
        <v>0.02</v>
      </c>
      <c r="C4" s="40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40"/>
      <c r="J4" s="107">
        <f>AQ3</f>
        <v>55</v>
      </c>
      <c r="K4" s="107">
        <f>AR3</f>
        <v>55</v>
      </c>
      <c r="L4" s="107">
        <v>0.04</v>
      </c>
      <c r="M4" s="107">
        <v>0.06</v>
      </c>
      <c r="N4" s="107">
        <f t="shared" ref="N4:N27" si="2">N3*(1+$B$4)</f>
        <v>55.08</v>
      </c>
      <c r="O4" s="107">
        <f t="shared" ref="O4:O27" si="3">O3*(1+$B$5)</f>
        <v>84.84</v>
      </c>
      <c r="P4" s="107">
        <f>J4*L4</f>
        <v>2.2000000000000002</v>
      </c>
      <c r="Q4" s="107">
        <f>Q3*(1+$B$3)</f>
        <v>5.0999999999999996</v>
      </c>
      <c r="R4" s="107"/>
      <c r="S4" s="107"/>
      <c r="T4" s="107"/>
      <c r="U4" s="107"/>
      <c r="V4" s="107"/>
      <c r="W4" s="107">
        <f t="shared" si="0"/>
        <v>147.22</v>
      </c>
      <c r="X4" s="107">
        <f>N4+O4+K4*M4+Q4</f>
        <v>148.32000000000002</v>
      </c>
      <c r="Y4" s="107">
        <v>38.4</v>
      </c>
      <c r="Z4" s="107">
        <f>Z3*(1+$B$3)</f>
        <v>5.0999999999999996</v>
      </c>
      <c r="AA4" s="107">
        <v>12</v>
      </c>
      <c r="AB4" s="107">
        <f>AB3*(1+$B$3)</f>
        <v>3.06</v>
      </c>
      <c r="AC4" s="107">
        <f t="shared" ref="AB4:AC8" si="4">AC3*(1+$B$3)</f>
        <v>23.256</v>
      </c>
      <c r="AD4" s="107">
        <v>4.08</v>
      </c>
      <c r="AE4" s="107">
        <v>4.7</v>
      </c>
      <c r="AF4" s="107">
        <v>13.6</v>
      </c>
      <c r="AG4" s="107">
        <f>AG3*(1+$B$3)</f>
        <v>4.9775999999999998</v>
      </c>
      <c r="AH4" s="107">
        <f t="shared" ref="AG4:AI19" si="5">AH3*(1+$B$3)</f>
        <v>3.8759999999999999</v>
      </c>
      <c r="AI4" s="107">
        <f>AI3*(1+$B$3)</f>
        <v>13.26</v>
      </c>
      <c r="AJ4" s="107">
        <v>12</v>
      </c>
      <c r="AK4" s="107">
        <f>AK3*(1+$B$3)</f>
        <v>6.3240000000000007</v>
      </c>
      <c r="AL4" s="107"/>
      <c r="AM4" s="107"/>
      <c r="AN4" s="176">
        <v>-5</v>
      </c>
      <c r="AO4" s="107">
        <f t="shared" ref="AO4:AO53" si="6">SUM(Y4:AN4)</f>
        <v>139.6336</v>
      </c>
      <c r="AP4" s="110">
        <f>W4-AO4</f>
        <v>7.5863999999999976</v>
      </c>
      <c r="AQ4" s="110">
        <f t="shared" ref="AQ4:AQ53" si="7">J4+AP4</f>
        <v>62.586399999999998</v>
      </c>
      <c r="AR4" s="107">
        <f>K4+ X4-AO4</f>
        <v>63.68640000000002</v>
      </c>
      <c r="AS4" s="107"/>
      <c r="AT4" s="112">
        <f t="shared" ref="AT4:AT27" si="8">N4*0.06</f>
        <v>3.3047999999999997</v>
      </c>
      <c r="AU4" s="112">
        <f>3.82*12*0.06</f>
        <v>2.7503999999999995</v>
      </c>
      <c r="AV4" s="112">
        <f t="shared" ref="AV4:AV27" si="9">AV3*(1+$B$6)+AT4</f>
        <v>96.904800000000009</v>
      </c>
      <c r="AW4" s="112">
        <f t="shared" ref="AW4:AW27" si="10">AW3*(1+$B$6)+AU4</f>
        <v>96.350400000000008</v>
      </c>
      <c r="AX4" s="112">
        <f t="shared" ref="AX4:AX13" si="11">AX3*(1+$B$7) + 6</f>
        <v>58</v>
      </c>
    </row>
    <row r="5" spans="1:50" x14ac:dyDescent="0.3">
      <c r="A5" s="40" t="s">
        <v>388</v>
      </c>
      <c r="B5" s="102">
        <v>0.01</v>
      </c>
      <c r="C5" s="40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40"/>
      <c r="J5" s="107">
        <f>AQ4</f>
        <v>62.586399999999998</v>
      </c>
      <c r="K5" s="107">
        <f t="shared" ref="K5:K53" si="12">AR4</f>
        <v>63.68640000000002</v>
      </c>
      <c r="L5" s="107">
        <v>0.04</v>
      </c>
      <c r="M5" s="107">
        <v>0.06</v>
      </c>
      <c r="N5" s="107">
        <f t="shared" si="2"/>
        <v>56.181599999999996</v>
      </c>
      <c r="O5" s="107">
        <f t="shared" si="3"/>
        <v>85.688400000000001</v>
      </c>
      <c r="P5" s="107">
        <f>J5*L5</f>
        <v>2.5034559999999999</v>
      </c>
      <c r="Q5" s="107">
        <f t="shared" ref="Q5:S30" si="13">Q4*(1+$B$3)</f>
        <v>5.202</v>
      </c>
      <c r="R5" s="107"/>
      <c r="S5" s="107"/>
      <c r="T5" s="107"/>
      <c r="U5" s="107"/>
      <c r="V5" s="107"/>
      <c r="W5" s="107">
        <f t="shared" si="0"/>
        <v>149.575456</v>
      </c>
      <c r="X5" s="107">
        <f t="shared" ref="X5:X27" si="14">N5+O5+K5*M5+Q5</f>
        <v>150.89318399999999</v>
      </c>
      <c r="Y5" s="107">
        <v>38.4</v>
      </c>
      <c r="Z5" s="107">
        <f>Z4*(1+$B$3)</f>
        <v>5.202</v>
      </c>
      <c r="AA5" s="107">
        <v>12</v>
      </c>
      <c r="AB5" s="107">
        <f t="shared" si="4"/>
        <v>3.1212</v>
      </c>
      <c r="AC5" s="107">
        <f t="shared" si="4"/>
        <v>23.721119999999999</v>
      </c>
      <c r="AD5" s="107">
        <v>4.08</v>
      </c>
      <c r="AE5" s="107">
        <v>4.9000000000000004</v>
      </c>
      <c r="AF5" s="107">
        <v>13.6</v>
      </c>
      <c r="AG5" s="107">
        <f t="shared" si="5"/>
        <v>5.0771519999999999</v>
      </c>
      <c r="AH5" s="107">
        <f t="shared" si="5"/>
        <v>3.9535200000000001</v>
      </c>
      <c r="AI5" s="107">
        <f t="shared" si="5"/>
        <v>13.5252</v>
      </c>
      <c r="AJ5" s="107">
        <v>12</v>
      </c>
      <c r="AK5" s="107">
        <f t="shared" ref="AK5:AK23" si="15">AK4*(1+$B$3)</f>
        <v>6.4504800000000007</v>
      </c>
      <c r="AL5" s="107"/>
      <c r="AM5" s="107"/>
      <c r="AN5" s="176">
        <v>-5</v>
      </c>
      <c r="AO5" s="107">
        <f t="shared" si="6"/>
        <v>141.03067200000001</v>
      </c>
      <c r="AP5" s="110">
        <f t="shared" si="1"/>
        <v>8.5447839999999928</v>
      </c>
      <c r="AQ5" s="110">
        <f t="shared" si="7"/>
        <v>71.13118399999999</v>
      </c>
      <c r="AR5" s="107">
        <f t="shared" ref="AR5:AR53" si="16">K5+ X5-AO5</f>
        <v>73.548912000000001</v>
      </c>
      <c r="AS5" s="107"/>
      <c r="AT5" s="112">
        <f t="shared" si="8"/>
        <v>3.3708959999999997</v>
      </c>
      <c r="AU5" s="112">
        <f t="shared" ref="AU5:AU27" si="17">3.82*12*0.06</f>
        <v>2.7503999999999995</v>
      </c>
      <c r="AV5" s="112">
        <f t="shared" si="9"/>
        <v>104.15188800000001</v>
      </c>
      <c r="AW5" s="112">
        <f t="shared" si="10"/>
        <v>102.95481600000001</v>
      </c>
      <c r="AX5" s="112">
        <f t="shared" si="11"/>
        <v>66.319999999999993</v>
      </c>
    </row>
    <row r="6" spans="1:50" x14ac:dyDescent="0.3">
      <c r="A6" s="40" t="s">
        <v>389</v>
      </c>
      <c r="B6" s="102">
        <v>0.04</v>
      </c>
      <c r="C6" s="40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88"/>
      <c r="J6" s="107">
        <f>AQ5</f>
        <v>71.13118399999999</v>
      </c>
      <c r="K6" s="107">
        <f t="shared" si="12"/>
        <v>73.548912000000001</v>
      </c>
      <c r="L6" s="107">
        <v>0.04</v>
      </c>
      <c r="M6" s="107">
        <v>0.06</v>
      </c>
      <c r="N6" s="107">
        <f t="shared" si="2"/>
        <v>57.305231999999997</v>
      </c>
      <c r="O6" s="107">
        <f t="shared" si="3"/>
        <v>86.545283999999995</v>
      </c>
      <c r="P6" s="107">
        <f>J6*L6</f>
        <v>2.8452473599999997</v>
      </c>
      <c r="Q6" s="107">
        <f t="shared" si="13"/>
        <v>5.3060400000000003</v>
      </c>
      <c r="R6" s="107"/>
      <c r="S6" s="107"/>
      <c r="T6" s="107"/>
      <c r="U6" s="107"/>
      <c r="V6" s="107"/>
      <c r="W6" s="107">
        <f t="shared" si="0"/>
        <v>152.00180336</v>
      </c>
      <c r="X6" s="107">
        <f t="shared" si="14"/>
        <v>153.56949072</v>
      </c>
      <c r="Y6" s="107">
        <v>38.4</v>
      </c>
      <c r="Z6" s="107">
        <f>Z5*(1+$B$3)</f>
        <v>5.3060400000000003</v>
      </c>
      <c r="AA6" s="107">
        <v>12</v>
      </c>
      <c r="AB6" s="107">
        <f t="shared" si="4"/>
        <v>3.183624</v>
      </c>
      <c r="AC6" s="107">
        <f t="shared" si="4"/>
        <v>24.195542400000001</v>
      </c>
      <c r="AD6" s="107">
        <v>4.08</v>
      </c>
      <c r="AE6" s="107">
        <v>5.3</v>
      </c>
      <c r="AF6" s="107">
        <v>13.6</v>
      </c>
      <c r="AG6" s="107">
        <f t="shared" si="5"/>
        <v>5.17869504</v>
      </c>
      <c r="AH6" s="107">
        <f t="shared" si="5"/>
        <v>4.0325904000000001</v>
      </c>
      <c r="AI6" s="107">
        <f t="shared" si="5"/>
        <v>13.795704000000001</v>
      </c>
      <c r="AJ6" s="107">
        <v>12</v>
      </c>
      <c r="AK6" s="107">
        <f t="shared" si="15"/>
        <v>6.5794896000000005</v>
      </c>
      <c r="AL6" s="107"/>
      <c r="AM6" s="107"/>
      <c r="AN6" s="176">
        <v>-5</v>
      </c>
      <c r="AO6" s="107">
        <f t="shared" si="6"/>
        <v>142.65168543999999</v>
      </c>
      <c r="AP6" s="110">
        <f t="shared" si="1"/>
        <v>9.3501179200000024</v>
      </c>
      <c r="AQ6" s="110">
        <f t="shared" si="7"/>
        <v>80.481301919999993</v>
      </c>
      <c r="AR6" s="107">
        <f t="shared" si="16"/>
        <v>84.466717280000012</v>
      </c>
      <c r="AS6" s="107"/>
      <c r="AT6" s="112">
        <f t="shared" si="8"/>
        <v>3.4383139199999997</v>
      </c>
      <c r="AU6" s="112">
        <f t="shared" si="17"/>
        <v>2.7503999999999995</v>
      </c>
      <c r="AV6" s="112">
        <f t="shared" si="9"/>
        <v>111.75627744000002</v>
      </c>
      <c r="AW6" s="112">
        <f t="shared" si="10"/>
        <v>109.82340864000001</v>
      </c>
      <c r="AX6" s="112">
        <f t="shared" si="11"/>
        <v>74.972799999999992</v>
      </c>
    </row>
    <row r="7" spans="1:50" x14ac:dyDescent="0.3">
      <c r="A7" s="84" t="s">
        <v>390</v>
      </c>
      <c r="B7" s="103">
        <v>0.04</v>
      </c>
      <c r="C7" s="40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88" t="s">
        <v>337</v>
      </c>
      <c r="J7" s="107">
        <f>AQ6</f>
        <v>80.481301919999993</v>
      </c>
      <c r="K7" s="107">
        <f>AR6</f>
        <v>84.466717280000012</v>
      </c>
      <c r="L7" s="107">
        <v>0.04</v>
      </c>
      <c r="M7" s="107">
        <v>0.06</v>
      </c>
      <c r="N7" s="107">
        <f t="shared" si="2"/>
        <v>58.451336640000001</v>
      </c>
      <c r="O7" s="107">
        <f t="shared" si="3"/>
        <v>87.410736839999998</v>
      </c>
      <c r="P7" s="107">
        <f>J7*L7</f>
        <v>3.2192520767999997</v>
      </c>
      <c r="Q7" s="107">
        <f t="shared" si="13"/>
        <v>5.4121608000000005</v>
      </c>
      <c r="R7" s="107"/>
      <c r="S7" s="107"/>
      <c r="T7" s="107"/>
      <c r="U7" s="107"/>
      <c r="V7" s="107"/>
      <c r="W7" s="107">
        <f t="shared" si="0"/>
        <v>154.49348635679999</v>
      </c>
      <c r="X7" s="107">
        <f t="shared" si="14"/>
        <v>156.34223731680001</v>
      </c>
      <c r="Y7" s="107">
        <v>38.4</v>
      </c>
      <c r="Z7" s="107">
        <f>Z6*(1+$B$3)</f>
        <v>5.4121608000000005</v>
      </c>
      <c r="AA7" s="107">
        <v>12</v>
      </c>
      <c r="AB7" s="107">
        <f t="shared" si="4"/>
        <v>3.2472964800000002</v>
      </c>
      <c r="AC7" s="107">
        <f t="shared" si="4"/>
        <v>24.679453248000002</v>
      </c>
      <c r="AD7" s="107">
        <v>4.08</v>
      </c>
      <c r="AE7" s="107">
        <v>5.5</v>
      </c>
      <c r="AF7" s="107">
        <v>13.6</v>
      </c>
      <c r="AG7" s="107">
        <f t="shared" si="5"/>
        <v>5.2822689407999999</v>
      </c>
      <c r="AH7" s="107">
        <f t="shared" si="5"/>
        <v>4.113242208</v>
      </c>
      <c r="AI7" s="107">
        <f t="shared" si="5"/>
        <v>14.07161808</v>
      </c>
      <c r="AJ7" s="107">
        <v>12</v>
      </c>
      <c r="AK7" s="107">
        <f t="shared" si="15"/>
        <v>6.7110793920000003</v>
      </c>
      <c r="AL7" s="107"/>
      <c r="AM7" s="117">
        <f>理財目標費用終值!D16</f>
        <v>21.648643199999999</v>
      </c>
      <c r="AN7" s="176">
        <v>-5</v>
      </c>
      <c r="AO7" s="107">
        <f t="shared" si="6"/>
        <v>165.74576234879999</v>
      </c>
      <c r="AP7" s="110">
        <f t="shared" si="1"/>
        <v>-11.252275991999994</v>
      </c>
      <c r="AQ7" s="110">
        <f t="shared" si="7"/>
        <v>69.229025927999999</v>
      </c>
      <c r="AR7" s="107">
        <f t="shared" si="16"/>
        <v>75.063192248000036</v>
      </c>
      <c r="AS7" s="107"/>
      <c r="AT7" s="112">
        <f t="shared" si="8"/>
        <v>3.5070801983999997</v>
      </c>
      <c r="AU7" s="112">
        <f t="shared" si="17"/>
        <v>2.7503999999999995</v>
      </c>
      <c r="AV7" s="112">
        <f t="shared" si="9"/>
        <v>119.73360873600002</v>
      </c>
      <c r="AW7" s="112">
        <f t="shared" si="10"/>
        <v>116.96674498560002</v>
      </c>
      <c r="AX7" s="112">
        <f t="shared" si="11"/>
        <v>83.971711999999997</v>
      </c>
    </row>
    <row r="8" spans="1:50" x14ac:dyDescent="0.3">
      <c r="C8" s="40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88" t="s">
        <v>338</v>
      </c>
      <c r="J8" s="107">
        <f>AQ7</f>
        <v>69.229025927999999</v>
      </c>
      <c r="K8" s="107">
        <f t="shared" si="12"/>
        <v>75.063192248000036</v>
      </c>
      <c r="L8" s="107">
        <v>0.04</v>
      </c>
      <c r="M8" s="107">
        <v>0.06</v>
      </c>
      <c r="N8" s="107">
        <f t="shared" si="2"/>
        <v>59.6203633728</v>
      </c>
      <c r="O8" s="107">
        <f t="shared" si="3"/>
        <v>88.284844208400003</v>
      </c>
      <c r="P8" s="107">
        <f>J8*L8</f>
        <v>2.7691610371199999</v>
      </c>
      <c r="Q8" s="107">
        <f t="shared" si="13"/>
        <v>5.5204040160000005</v>
      </c>
      <c r="R8" s="107"/>
      <c r="S8" s="107"/>
      <c r="T8" s="107"/>
      <c r="U8" s="107"/>
      <c r="V8" s="107"/>
      <c r="W8" s="107">
        <f t="shared" si="0"/>
        <v>156.19477263431997</v>
      </c>
      <c r="X8" s="107">
        <f t="shared" si="14"/>
        <v>157.92940313207998</v>
      </c>
      <c r="Y8" s="107">
        <v>38.4</v>
      </c>
      <c r="Z8" s="107">
        <f>Z7*(1+$B$3)</f>
        <v>5.5204040160000005</v>
      </c>
      <c r="AA8" s="107"/>
      <c r="AB8" s="107">
        <f t="shared" si="4"/>
        <v>3.3122424096</v>
      </c>
      <c r="AC8" s="107">
        <f>AC7*(1+$B$3)*(3/4)</f>
        <v>18.879781734720002</v>
      </c>
      <c r="AD8" s="107">
        <v>4.08</v>
      </c>
      <c r="AE8" s="107">
        <v>5.3</v>
      </c>
      <c r="AF8" s="107">
        <v>13.6</v>
      </c>
      <c r="AG8" s="107">
        <f t="shared" si="5"/>
        <v>5.3879143196159998</v>
      </c>
      <c r="AH8" s="107">
        <f t="shared" si="5"/>
        <v>4.19550705216</v>
      </c>
      <c r="AI8" s="107">
        <f>AI7*(1+$B$3)*0.5</f>
        <v>7.1765252208000003</v>
      </c>
      <c r="AJ8" s="107">
        <v>12</v>
      </c>
      <c r="AK8" s="107">
        <f t="shared" si="15"/>
        <v>6.8453009798400002</v>
      </c>
      <c r="AL8" s="107"/>
      <c r="AM8" s="117">
        <f>理財目標費用終值!D3</f>
        <v>27.602020079999999</v>
      </c>
      <c r="AN8" s="176">
        <v>-5</v>
      </c>
      <c r="AO8" s="107">
        <f t="shared" si="6"/>
        <v>147.29969581273599</v>
      </c>
      <c r="AP8" s="110">
        <f t="shared" si="1"/>
        <v>8.8950768215839844</v>
      </c>
      <c r="AQ8" s="110">
        <f t="shared" si="7"/>
        <v>78.124102749583983</v>
      </c>
      <c r="AR8" s="107">
        <f t="shared" si="16"/>
        <v>85.692899567344028</v>
      </c>
      <c r="AS8" s="107"/>
      <c r="AT8" s="112">
        <f t="shared" si="8"/>
        <v>3.5772218023679998</v>
      </c>
      <c r="AU8" s="112">
        <f t="shared" si="17"/>
        <v>2.7503999999999995</v>
      </c>
      <c r="AV8" s="112">
        <f t="shared" si="9"/>
        <v>128.10017488780801</v>
      </c>
      <c r="AW8" s="112">
        <f t="shared" si="10"/>
        <v>124.39581478502402</v>
      </c>
      <c r="AX8" s="112">
        <f t="shared" si="11"/>
        <v>93.330580479999995</v>
      </c>
    </row>
    <row r="9" spans="1:50" x14ac:dyDescent="0.3">
      <c r="A9" s="40"/>
      <c r="B9" s="54"/>
      <c r="C9" s="40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88" t="s">
        <v>339</v>
      </c>
      <c r="J9" s="107">
        <f t="shared" ref="J9:J53" si="18">AQ8</f>
        <v>78.124102749583983</v>
      </c>
      <c r="K9" s="107">
        <f t="shared" si="12"/>
        <v>85.692899567344028</v>
      </c>
      <c r="L9" s="107">
        <v>0.04</v>
      </c>
      <c r="M9" s="107">
        <v>0.06</v>
      </c>
      <c r="N9" s="107">
        <f t="shared" si="2"/>
        <v>60.812770640255998</v>
      </c>
      <c r="O9" s="107">
        <f t="shared" si="3"/>
        <v>89.167692650484</v>
      </c>
      <c r="P9" s="107">
        <v>3</v>
      </c>
      <c r="Q9" s="107">
        <f t="shared" si="13"/>
        <v>5.6308120963200006</v>
      </c>
      <c r="R9" s="107"/>
      <c r="S9" s="107"/>
      <c r="T9" s="107"/>
      <c r="U9" s="107"/>
      <c r="V9" s="107"/>
      <c r="W9" s="107">
        <f t="shared" si="0"/>
        <v>158.61127538706</v>
      </c>
      <c r="X9" s="107">
        <f t="shared" si="14"/>
        <v>160.75284936110066</v>
      </c>
      <c r="Y9" s="107">
        <v>38.4</v>
      </c>
      <c r="Z9" s="107">
        <v>6</v>
      </c>
      <c r="AA9" s="107"/>
      <c r="AB9" s="107">
        <v>4</v>
      </c>
      <c r="AC9" s="107">
        <f>AC8*(1+$B$3)</f>
        <v>19.257377369414403</v>
      </c>
      <c r="AD9" s="107">
        <v>4.08</v>
      </c>
      <c r="AE9" s="107">
        <v>5.6</v>
      </c>
      <c r="AF9" s="107">
        <v>13.6</v>
      </c>
      <c r="AG9" s="107">
        <f t="shared" si="5"/>
        <v>5.4956726060083199</v>
      </c>
      <c r="AH9" s="107">
        <f>AH8*(1+$B$3)</f>
        <v>4.2794171932031997</v>
      </c>
      <c r="AI9" s="107">
        <f>AI8*(1+$B$3)</f>
        <v>7.3200557252160001</v>
      </c>
      <c r="AJ9" s="107">
        <v>12</v>
      </c>
      <c r="AK9" s="107">
        <f t="shared" si="15"/>
        <v>6.9822069994368006</v>
      </c>
      <c r="AL9" s="107"/>
      <c r="AM9" s="117">
        <f>理財目標費用終值!D4</f>
        <v>28.154060481600002</v>
      </c>
      <c r="AN9" s="176">
        <v>-5</v>
      </c>
      <c r="AO9" s="107">
        <f t="shared" si="6"/>
        <v>150.16879037487871</v>
      </c>
      <c r="AP9" s="110">
        <f t="shared" si="1"/>
        <v>8.4424850121812938</v>
      </c>
      <c r="AQ9" s="110">
        <f t="shared" si="7"/>
        <v>86.566587761765277</v>
      </c>
      <c r="AR9" s="107">
        <f t="shared" si="16"/>
        <v>96.276958553565976</v>
      </c>
      <c r="AS9" s="107"/>
      <c r="AT9" s="112">
        <f t="shared" si="8"/>
        <v>3.6487662384153596</v>
      </c>
      <c r="AU9" s="112">
        <f t="shared" si="17"/>
        <v>2.7503999999999995</v>
      </c>
      <c r="AV9" s="112">
        <f t="shared" si="9"/>
        <v>136.8729481217357</v>
      </c>
      <c r="AW9" s="112">
        <f t="shared" si="10"/>
        <v>132.122047376425</v>
      </c>
      <c r="AX9" s="112">
        <f t="shared" si="11"/>
        <v>103.06380369919999</v>
      </c>
    </row>
    <row r="10" spans="1:50" x14ac:dyDescent="0.3">
      <c r="A10" s="40"/>
      <c r="B10" s="54"/>
      <c r="C10" s="40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88" t="s">
        <v>340</v>
      </c>
      <c r="J10" s="107">
        <f t="shared" si="18"/>
        <v>86.566587761765277</v>
      </c>
      <c r="K10" s="107">
        <f t="shared" si="12"/>
        <v>96.276958553565976</v>
      </c>
      <c r="L10" s="107">
        <v>0.04</v>
      </c>
      <c r="M10" s="107">
        <v>0.06</v>
      </c>
      <c r="N10" s="107">
        <f t="shared" si="2"/>
        <v>62.029026053061116</v>
      </c>
      <c r="O10" s="107">
        <f t="shared" si="3"/>
        <v>90.059369576988843</v>
      </c>
      <c r="P10" s="107">
        <f>J10*L10</f>
        <v>3.4626635104706112</v>
      </c>
      <c r="Q10" s="107">
        <f t="shared" si="13"/>
        <v>5.7434283382464004</v>
      </c>
      <c r="R10" s="107"/>
      <c r="S10" s="107"/>
      <c r="T10" s="107"/>
      <c r="U10" s="107"/>
      <c r="V10" s="107"/>
      <c r="W10" s="107">
        <f t="shared" si="0"/>
        <v>161.29448747876694</v>
      </c>
      <c r="X10" s="107">
        <f t="shared" si="14"/>
        <v>163.60844148151028</v>
      </c>
      <c r="Y10" s="107">
        <v>38.4</v>
      </c>
      <c r="Z10" s="107">
        <f t="shared" ref="Z10:Z26" si="19">Z9*(1+$B$3)</f>
        <v>6.12</v>
      </c>
      <c r="AA10" s="107"/>
      <c r="AB10" s="107">
        <f>AB9*(1+$B$3)</f>
        <v>4.08</v>
      </c>
      <c r="AC10" s="107">
        <f>AC9*(1+$B$3)*(2/3)</f>
        <v>13.095016611201794</v>
      </c>
      <c r="AD10" s="107">
        <v>4.08</v>
      </c>
      <c r="AE10" s="107">
        <v>5.0999999999999996</v>
      </c>
      <c r="AF10" s="107">
        <v>13.6</v>
      </c>
      <c r="AG10" s="107">
        <f t="shared" si="5"/>
        <v>5.6055860581284866</v>
      </c>
      <c r="AH10" s="107">
        <f t="shared" si="5"/>
        <v>4.3650055370672636</v>
      </c>
      <c r="AI10" s="107"/>
      <c r="AJ10" s="107">
        <v>12</v>
      </c>
      <c r="AK10" s="107">
        <f t="shared" si="15"/>
        <v>7.1218511394255364</v>
      </c>
      <c r="AL10" s="107"/>
      <c r="AM10" s="117">
        <f>理財目標費用終值!D5+理財目標費用終值!D8</f>
        <v>57.434283382463988</v>
      </c>
      <c r="AN10" s="176">
        <v>-5</v>
      </c>
      <c r="AO10" s="107">
        <f t="shared" si="6"/>
        <v>166.00174272828704</v>
      </c>
      <c r="AP10" s="110">
        <f t="shared" si="1"/>
        <v>-4.7072552495201023</v>
      </c>
      <c r="AQ10" s="110">
        <f t="shared" si="7"/>
        <v>81.859332512245174</v>
      </c>
      <c r="AR10" s="107">
        <f t="shared" si="16"/>
        <v>93.883657306789218</v>
      </c>
      <c r="AS10" s="107"/>
      <c r="AT10" s="112">
        <f t="shared" si="8"/>
        <v>3.721741563183667</v>
      </c>
      <c r="AU10" s="112">
        <f t="shared" si="17"/>
        <v>2.7503999999999995</v>
      </c>
      <c r="AV10" s="112">
        <f t="shared" si="9"/>
        <v>146.06960760978879</v>
      </c>
      <c r="AW10" s="112">
        <f t="shared" si="10"/>
        <v>140.15732927148201</v>
      </c>
      <c r="AX10" s="112">
        <f t="shared" si="11"/>
        <v>113.186355847168</v>
      </c>
    </row>
    <row r="11" spans="1:50" x14ac:dyDescent="0.3">
      <c r="A11" s="40"/>
      <c r="B11" s="54"/>
      <c r="C11" s="40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88" t="s">
        <v>341</v>
      </c>
      <c r="J11" s="107">
        <f t="shared" si="18"/>
        <v>81.859332512245174</v>
      </c>
      <c r="K11" s="107">
        <f t="shared" si="12"/>
        <v>93.883657306789218</v>
      </c>
      <c r="L11" s="107">
        <v>0.04</v>
      </c>
      <c r="M11" s="107">
        <v>0.06</v>
      </c>
      <c r="N11" s="107">
        <f t="shared" si="2"/>
        <v>63.269606574122342</v>
      </c>
      <c r="O11" s="107">
        <f t="shared" si="3"/>
        <v>90.959963272758728</v>
      </c>
      <c r="P11" s="107">
        <f>J11*L11</f>
        <v>3.274373300489807</v>
      </c>
      <c r="Q11" s="107">
        <f t="shared" si="13"/>
        <v>5.8582969050113283</v>
      </c>
      <c r="R11" s="107"/>
      <c r="S11" s="107"/>
      <c r="T11" s="107"/>
      <c r="U11" s="107"/>
      <c r="V11" s="107"/>
      <c r="W11" s="107">
        <f t="shared" si="0"/>
        <v>163.36224005238219</v>
      </c>
      <c r="X11" s="107">
        <f t="shared" si="14"/>
        <v>165.72088619029975</v>
      </c>
      <c r="Y11" s="107">
        <v>38.4</v>
      </c>
      <c r="Z11" s="107">
        <f t="shared" si="19"/>
        <v>6.2423999999999999</v>
      </c>
      <c r="AA11" s="107"/>
      <c r="AB11" s="107">
        <f>AB10*(1+$B$3)</f>
        <v>4.1616</v>
      </c>
      <c r="AC11" s="107">
        <f>AC10*(1+$B$3)</f>
        <v>13.35691694342583</v>
      </c>
      <c r="AD11" s="107">
        <v>4.08</v>
      </c>
      <c r="AE11" s="107">
        <v>5.8</v>
      </c>
      <c r="AF11" s="107">
        <v>13.6</v>
      </c>
      <c r="AG11" s="107">
        <f t="shared" si="5"/>
        <v>5.7176977792910568</v>
      </c>
      <c r="AH11" s="107">
        <f t="shared" si="5"/>
        <v>4.4523056478086085</v>
      </c>
      <c r="AI11" s="107"/>
      <c r="AJ11" s="107">
        <v>12</v>
      </c>
      <c r="AK11" s="107">
        <f t="shared" si="15"/>
        <v>7.2642881622140472</v>
      </c>
      <c r="AL11" s="107"/>
      <c r="AM11" s="117">
        <f>理財目標費用終值!D6+理財目標費用終值!D9+理財目標費用終值!D17</f>
        <v>82.01615667015858</v>
      </c>
      <c r="AN11" s="176">
        <v>-5</v>
      </c>
      <c r="AO11" s="107">
        <f t="shared" si="6"/>
        <v>192.09136520289812</v>
      </c>
      <c r="AP11" s="110">
        <f t="shared" si="1"/>
        <v>-28.729125150515927</v>
      </c>
      <c r="AQ11" s="110">
        <f t="shared" si="7"/>
        <v>53.130207361729248</v>
      </c>
      <c r="AR11" s="107">
        <f t="shared" si="16"/>
        <v>67.513178294190851</v>
      </c>
      <c r="AS11" s="107"/>
      <c r="AT11" s="112">
        <f t="shared" si="8"/>
        <v>3.7961763944473406</v>
      </c>
      <c r="AU11" s="112">
        <f t="shared" si="17"/>
        <v>2.7503999999999995</v>
      </c>
      <c r="AV11" s="112">
        <f t="shared" si="9"/>
        <v>155.70856830862769</v>
      </c>
      <c r="AW11" s="112">
        <f t="shared" si="10"/>
        <v>148.51402244234131</v>
      </c>
      <c r="AX11" s="112">
        <f t="shared" si="11"/>
        <v>123.71381008105473</v>
      </c>
    </row>
    <row r="12" spans="1:50" x14ac:dyDescent="0.3">
      <c r="A12" s="40"/>
      <c r="B12" s="54"/>
      <c r="C12" s="40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88" t="s">
        <v>342</v>
      </c>
      <c r="J12" s="107">
        <f t="shared" si="18"/>
        <v>53.130207361729248</v>
      </c>
      <c r="K12" s="107">
        <f t="shared" si="12"/>
        <v>67.513178294190851</v>
      </c>
      <c r="L12" s="107">
        <v>0.04</v>
      </c>
      <c r="M12" s="107">
        <v>0.06</v>
      </c>
      <c r="N12" s="107">
        <f t="shared" si="2"/>
        <v>64.534998705604792</v>
      </c>
      <c r="O12" s="107">
        <f t="shared" si="3"/>
        <v>91.869562905486319</v>
      </c>
      <c r="P12" s="107">
        <f>J12*L12</f>
        <v>2.1252082944691701</v>
      </c>
      <c r="Q12" s="107">
        <f t="shared" si="13"/>
        <v>5.9754628431115551</v>
      </c>
      <c r="R12" s="107"/>
      <c r="S12" s="107"/>
      <c r="T12" s="107"/>
      <c r="U12" s="107"/>
      <c r="V12" s="107"/>
      <c r="W12" s="107">
        <f t="shared" si="0"/>
        <v>164.50523274867183</v>
      </c>
      <c r="X12" s="107">
        <f t="shared" si="14"/>
        <v>166.43081515185412</v>
      </c>
      <c r="Y12" s="107">
        <v>38.4</v>
      </c>
      <c r="Z12" s="107">
        <f t="shared" si="19"/>
        <v>6.367248</v>
      </c>
      <c r="AA12" s="107"/>
      <c r="AB12" s="107">
        <f>AB11*(1+$B$3)</f>
        <v>4.2448319999999997</v>
      </c>
      <c r="AC12" s="107">
        <f>AC11*(1+$B$3)</f>
        <v>13.624055282294346</v>
      </c>
      <c r="AD12" s="107">
        <v>4.08</v>
      </c>
      <c r="AE12" s="107">
        <v>6.3</v>
      </c>
      <c r="AF12" s="107">
        <v>13.6</v>
      </c>
      <c r="AG12" s="107">
        <f t="shared" si="5"/>
        <v>5.8320517348768783</v>
      </c>
      <c r="AH12" s="107">
        <f t="shared" si="5"/>
        <v>4.5413517607647806</v>
      </c>
      <c r="AI12" s="107"/>
      <c r="AJ12" s="107">
        <v>12</v>
      </c>
      <c r="AK12" s="107">
        <f t="shared" si="15"/>
        <v>7.4095739254583286</v>
      </c>
      <c r="AL12" s="107"/>
      <c r="AM12" s="117">
        <f>理財目標費用終值!D10</f>
        <v>29.877314215557771</v>
      </c>
      <c r="AN12" s="176">
        <v>-5</v>
      </c>
      <c r="AO12" s="107">
        <f t="shared" si="6"/>
        <v>141.2764269189521</v>
      </c>
      <c r="AP12" s="110">
        <f t="shared" si="1"/>
        <v>23.228805829719732</v>
      </c>
      <c r="AQ12" s="110">
        <f t="shared" si="7"/>
        <v>76.35901319144898</v>
      </c>
      <c r="AR12" s="107">
        <f t="shared" si="16"/>
        <v>92.667566527092873</v>
      </c>
      <c r="AS12" s="107"/>
      <c r="AT12" s="112">
        <f t="shared" si="8"/>
        <v>3.8720999223362873</v>
      </c>
      <c r="AU12" s="112">
        <f t="shared" si="17"/>
        <v>2.7503999999999995</v>
      </c>
      <c r="AV12" s="112">
        <f t="shared" si="9"/>
        <v>165.80901096330908</v>
      </c>
      <c r="AW12" s="112">
        <f t="shared" si="10"/>
        <v>157.204983340035</v>
      </c>
      <c r="AX12" s="112">
        <f t="shared" si="11"/>
        <v>134.66236248429692</v>
      </c>
    </row>
    <row r="13" spans="1:50" x14ac:dyDescent="0.3">
      <c r="A13" s="40"/>
      <c r="B13" s="54"/>
      <c r="C13" s="40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88" t="s">
        <v>343</v>
      </c>
      <c r="J13" s="107">
        <f t="shared" si="18"/>
        <v>76.35901319144898</v>
      </c>
      <c r="K13" s="107">
        <f t="shared" si="12"/>
        <v>92.667566527092873</v>
      </c>
      <c r="L13" s="107">
        <v>0.04</v>
      </c>
      <c r="M13" s="107">
        <v>0.06</v>
      </c>
      <c r="N13" s="107">
        <f t="shared" si="2"/>
        <v>65.825698679716893</v>
      </c>
      <c r="O13" s="107">
        <f t="shared" si="3"/>
        <v>92.788258534541185</v>
      </c>
      <c r="P13" s="107">
        <f>J13*L13</f>
        <v>3.0543605276579591</v>
      </c>
      <c r="Q13" s="107">
        <f t="shared" si="13"/>
        <v>6.094972099973786</v>
      </c>
      <c r="R13" s="107"/>
      <c r="S13" s="107"/>
      <c r="T13" s="107"/>
      <c r="U13" s="107"/>
      <c r="V13" s="107"/>
      <c r="W13" s="107">
        <f t="shared" si="0"/>
        <v>167.76328984188982</v>
      </c>
      <c r="X13" s="107">
        <f t="shared" si="14"/>
        <v>170.26898330585743</v>
      </c>
      <c r="Y13" s="107">
        <v>38.4</v>
      </c>
      <c r="Z13" s="107">
        <f t="shared" si="19"/>
        <v>6.4945929600000003</v>
      </c>
      <c r="AA13" s="107"/>
      <c r="AB13" s="107">
        <f>AB12*(1+$B$3)</f>
        <v>4.3297286399999999</v>
      </c>
      <c r="AC13" s="107">
        <f>AC12*(1+$B$3)</f>
        <v>13.896536387940234</v>
      </c>
      <c r="AD13" s="107">
        <v>4.08</v>
      </c>
      <c r="AE13" s="107">
        <v>6.6</v>
      </c>
      <c r="AF13" s="107">
        <v>13.6</v>
      </c>
      <c r="AG13" s="107">
        <f t="shared" si="5"/>
        <v>5.9486927695744161</v>
      </c>
      <c r="AH13" s="107">
        <f t="shared" si="5"/>
        <v>4.6321787959800762</v>
      </c>
      <c r="AI13" s="107"/>
      <c r="AJ13" s="107">
        <f>12*2</f>
        <v>24</v>
      </c>
      <c r="AK13" s="107">
        <f t="shared" si="15"/>
        <v>7.5577654039674957</v>
      </c>
      <c r="AL13" s="107"/>
      <c r="AM13" s="117">
        <f>理財目標費用終值!D11</f>
        <v>30.474860499868928</v>
      </c>
      <c r="AN13" s="176">
        <v>-5</v>
      </c>
      <c r="AO13" s="107">
        <f t="shared" si="6"/>
        <v>155.01435545733113</v>
      </c>
      <c r="AP13" s="110">
        <f t="shared" si="1"/>
        <v>12.74893438455868</v>
      </c>
      <c r="AQ13" s="110">
        <f t="shared" si="7"/>
        <v>89.10794757600766</v>
      </c>
      <c r="AR13" s="107">
        <f t="shared" si="16"/>
        <v>107.92219437561914</v>
      </c>
      <c r="AS13" s="107"/>
      <c r="AT13" s="112">
        <f t="shared" si="8"/>
        <v>3.9495419207830134</v>
      </c>
      <c r="AU13" s="112">
        <f t="shared" si="17"/>
        <v>2.7503999999999995</v>
      </c>
      <c r="AV13" s="112">
        <f t="shared" si="9"/>
        <v>176.39091332262447</v>
      </c>
      <c r="AW13" s="112">
        <f t="shared" si="10"/>
        <v>166.24358267363641</v>
      </c>
      <c r="AX13" s="112">
        <f t="shared" si="11"/>
        <v>146.0488569836688</v>
      </c>
    </row>
    <row r="14" spans="1:50" x14ac:dyDescent="0.3">
      <c r="A14" s="40"/>
      <c r="B14" s="54"/>
      <c r="C14" s="40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40"/>
      <c r="J14" s="107">
        <f t="shared" si="18"/>
        <v>89.10794757600766</v>
      </c>
      <c r="K14" s="107">
        <f t="shared" si="12"/>
        <v>107.92219437561914</v>
      </c>
      <c r="L14" s="107">
        <v>0.04</v>
      </c>
      <c r="M14" s="107">
        <v>0.06</v>
      </c>
      <c r="N14" s="107">
        <f t="shared" si="2"/>
        <v>67.142212653311233</v>
      </c>
      <c r="O14" s="107">
        <f t="shared" si="3"/>
        <v>93.716141119886601</v>
      </c>
      <c r="P14" s="107">
        <f>J14*L14</f>
        <v>3.5643179030403065</v>
      </c>
      <c r="Q14" s="107">
        <f t="shared" si="13"/>
        <v>6.2168715419732621</v>
      </c>
      <c r="R14" s="107"/>
      <c r="S14" s="107"/>
      <c r="T14" s="107"/>
      <c r="U14" s="107"/>
      <c r="V14" s="107"/>
      <c r="W14" s="107">
        <f t="shared" si="0"/>
        <v>170.63954321821143</v>
      </c>
      <c r="X14" s="107">
        <f t="shared" si="14"/>
        <v>173.55055697770825</v>
      </c>
      <c r="Y14" s="107">
        <v>38.4</v>
      </c>
      <c r="Z14" s="107">
        <f t="shared" si="19"/>
        <v>6.6244848192000001</v>
      </c>
      <c r="AA14" s="107"/>
      <c r="AB14" s="107">
        <f>AB13*(1+$B$3)</f>
        <v>4.4163232128000001</v>
      </c>
      <c r="AC14" s="107">
        <f>AC13*(1+$B$3)</f>
        <v>14.17446711569904</v>
      </c>
      <c r="AD14" s="107">
        <v>4.08</v>
      </c>
      <c r="AE14" s="107">
        <v>7.2</v>
      </c>
      <c r="AF14" s="107">
        <v>7.6</v>
      </c>
      <c r="AG14" s="107">
        <f t="shared" si="5"/>
        <v>6.0676666249659048</v>
      </c>
      <c r="AH14" s="107">
        <f t="shared" si="5"/>
        <v>4.7248223718996778</v>
      </c>
      <c r="AI14" s="107"/>
      <c r="AJ14" s="107">
        <f t="shared" ref="AJ14:AJ23" si="20">12*2</f>
        <v>24</v>
      </c>
      <c r="AK14" s="107">
        <f t="shared" si="15"/>
        <v>7.7089207120468455</v>
      </c>
      <c r="AL14" s="107"/>
      <c r="AM14" s="117">
        <f>理財目標費用終值!D13*(1+B3)</f>
        <v>87.036201587625655</v>
      </c>
      <c r="AN14" s="107"/>
      <c r="AO14" s="107">
        <f t="shared" si="6"/>
        <v>212.03288644423714</v>
      </c>
      <c r="AP14" s="110">
        <f t="shared" si="1"/>
        <v>-41.393343226025706</v>
      </c>
      <c r="AQ14" s="110">
        <f t="shared" si="7"/>
        <v>47.714604349981954</v>
      </c>
      <c r="AR14" s="107">
        <f t="shared" si="16"/>
        <v>69.439864909090261</v>
      </c>
      <c r="AS14" s="107"/>
      <c r="AT14" s="112">
        <f t="shared" si="8"/>
        <v>4.0285327591986739</v>
      </c>
      <c r="AU14" s="112">
        <f t="shared" si="17"/>
        <v>2.7503999999999995</v>
      </c>
      <c r="AV14" s="112">
        <f t="shared" si="9"/>
        <v>187.47508261472814</v>
      </c>
      <c r="AW14" s="112">
        <f t="shared" si="10"/>
        <v>175.64372598058188</v>
      </c>
      <c r="AX14" s="112">
        <f t="shared" ref="AX14:AX27" si="21">AX13*(1+$B$7)</f>
        <v>151.89081126301556</v>
      </c>
    </row>
    <row r="15" spans="1:50" x14ac:dyDescent="0.3">
      <c r="A15" s="40"/>
      <c r="B15" s="55"/>
      <c r="C15" s="40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40"/>
      <c r="J15" s="107">
        <f t="shared" si="18"/>
        <v>47.714604349981954</v>
      </c>
      <c r="K15" s="107">
        <f t="shared" si="12"/>
        <v>69.439864909090261</v>
      </c>
      <c r="L15" s="107">
        <v>0.04</v>
      </c>
      <c r="M15" s="107">
        <v>0.06</v>
      </c>
      <c r="N15" s="107">
        <f t="shared" si="2"/>
        <v>68.485056906377466</v>
      </c>
      <c r="O15" s="107">
        <f t="shared" si="3"/>
        <v>94.653302531085473</v>
      </c>
      <c r="P15" s="107">
        <v>4</v>
      </c>
      <c r="Q15" s="107">
        <f t="shared" si="13"/>
        <v>6.3412089728127272</v>
      </c>
      <c r="R15" s="107"/>
      <c r="S15" s="107"/>
      <c r="T15" s="107"/>
      <c r="U15" s="107"/>
      <c r="V15" s="107"/>
      <c r="W15" s="107">
        <f t="shared" si="0"/>
        <v>173.47956841027568</v>
      </c>
      <c r="X15" s="107">
        <f t="shared" si="14"/>
        <v>173.6459603048211</v>
      </c>
      <c r="Y15" s="107">
        <v>38.4</v>
      </c>
      <c r="Z15" s="107">
        <v>7</v>
      </c>
      <c r="AA15" s="107"/>
      <c r="AB15" s="107">
        <v>5</v>
      </c>
      <c r="AC15" s="107">
        <f t="shared" ref="AC15:AC27" si="22">AC14*(1+$B$3)</f>
        <v>14.457956458013021</v>
      </c>
      <c r="AD15" s="107">
        <v>4.08</v>
      </c>
      <c r="AE15" s="107">
        <v>7.5</v>
      </c>
      <c r="AF15" s="107">
        <v>7.6</v>
      </c>
      <c r="AG15" s="107">
        <f t="shared" si="5"/>
        <v>6.1890199574652227</v>
      </c>
      <c r="AH15" s="107">
        <f t="shared" si="5"/>
        <v>4.8193188193376715</v>
      </c>
      <c r="AI15" s="107"/>
      <c r="AJ15" s="107">
        <f t="shared" si="20"/>
        <v>24</v>
      </c>
      <c r="AK15" s="107">
        <f t="shared" si="15"/>
        <v>7.863099126287783</v>
      </c>
      <c r="AL15" s="107"/>
      <c r="AM15" s="125"/>
      <c r="AN15" s="107"/>
      <c r="AO15" s="107">
        <f t="shared" si="6"/>
        <v>126.90939436110368</v>
      </c>
      <c r="AP15" s="110">
        <f t="shared" si="1"/>
        <v>46.570174049171996</v>
      </c>
      <c r="AQ15" s="110">
        <f t="shared" si="7"/>
        <v>94.28477839915395</v>
      </c>
      <c r="AR15" s="107">
        <f t="shared" si="16"/>
        <v>116.17643085280768</v>
      </c>
      <c r="AS15" s="107"/>
      <c r="AT15" s="112">
        <f t="shared" si="8"/>
        <v>4.1091034143826475</v>
      </c>
      <c r="AU15" s="112">
        <f t="shared" si="17"/>
        <v>2.7503999999999995</v>
      </c>
      <c r="AV15" s="112">
        <f t="shared" si="9"/>
        <v>199.08318933369992</v>
      </c>
      <c r="AW15" s="112">
        <f t="shared" si="10"/>
        <v>185.41987501980518</v>
      </c>
      <c r="AX15" s="112">
        <f t="shared" si="21"/>
        <v>157.96644371353619</v>
      </c>
    </row>
    <row r="16" spans="1:50" x14ac:dyDescent="0.3">
      <c r="A16" s="40"/>
      <c r="B16" s="40"/>
      <c r="C16" s="40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40"/>
      <c r="J16" s="107">
        <f t="shared" si="18"/>
        <v>94.28477839915395</v>
      </c>
      <c r="K16" s="107">
        <f t="shared" si="12"/>
        <v>116.17643085280768</v>
      </c>
      <c r="L16" s="107">
        <v>0.04</v>
      </c>
      <c r="M16" s="107">
        <v>0.06</v>
      </c>
      <c r="N16" s="107">
        <f t="shared" si="2"/>
        <v>69.854758044505019</v>
      </c>
      <c r="O16" s="107">
        <f t="shared" si="3"/>
        <v>95.599835556396329</v>
      </c>
      <c r="P16" s="107">
        <f t="shared" ref="P16:P53" si="23">J16*L16</f>
        <v>3.7713911359661583</v>
      </c>
      <c r="Q16" s="107">
        <f t="shared" si="13"/>
        <v>6.4680331522689816</v>
      </c>
      <c r="R16" s="107"/>
      <c r="S16" s="107"/>
      <c r="T16" s="107"/>
      <c r="U16" s="107"/>
      <c r="V16" s="107"/>
      <c r="W16" s="107">
        <f t="shared" si="0"/>
        <v>175.69401788913649</v>
      </c>
      <c r="X16" s="107">
        <f t="shared" si="14"/>
        <v>178.8932126043388</v>
      </c>
      <c r="Y16" s="107">
        <v>38.4</v>
      </c>
      <c r="Z16" s="107">
        <f>Z15*(1+$B$3)</f>
        <v>7.1400000000000006</v>
      </c>
      <c r="AA16" s="107"/>
      <c r="AB16" s="107">
        <f>AB15*(1+$B$3)</f>
        <v>5.0999999999999996</v>
      </c>
      <c r="AC16" s="107">
        <f t="shared" si="22"/>
        <v>14.747115587173282</v>
      </c>
      <c r="AD16" s="107">
        <v>4.08</v>
      </c>
      <c r="AE16" s="107">
        <v>7.8</v>
      </c>
      <c r="AF16" s="107">
        <v>7.6</v>
      </c>
      <c r="AG16" s="107">
        <f t="shared" si="5"/>
        <v>6.3128003566145274</v>
      </c>
      <c r="AH16" s="107">
        <f t="shared" si="5"/>
        <v>4.9157051957244251</v>
      </c>
      <c r="AI16" s="107"/>
      <c r="AJ16" s="107">
        <f t="shared" si="20"/>
        <v>24</v>
      </c>
      <c r="AK16" s="107">
        <f t="shared" si="15"/>
        <v>8.0203611088135389</v>
      </c>
      <c r="AL16" s="107"/>
      <c r="AM16" s="117"/>
      <c r="AN16" s="107"/>
      <c r="AO16" s="107">
        <f t="shared" si="6"/>
        <v>128.11598224832576</v>
      </c>
      <c r="AP16" s="110">
        <f t="shared" si="1"/>
        <v>47.578035640810725</v>
      </c>
      <c r="AQ16" s="110">
        <f t="shared" si="7"/>
        <v>141.86281403996469</v>
      </c>
      <c r="AR16" s="107">
        <f t="shared" si="16"/>
        <v>166.95366120882071</v>
      </c>
      <c r="AS16" s="107"/>
      <c r="AT16" s="112">
        <f t="shared" si="8"/>
        <v>4.1912854826703008</v>
      </c>
      <c r="AU16" s="112">
        <f t="shared" si="17"/>
        <v>2.7503999999999995</v>
      </c>
      <c r="AV16" s="112">
        <f t="shared" si="9"/>
        <v>211.23780238971824</v>
      </c>
      <c r="AW16" s="112">
        <f t="shared" si="10"/>
        <v>195.58707002059739</v>
      </c>
      <c r="AX16" s="112">
        <f t="shared" si="21"/>
        <v>164.28510146207765</v>
      </c>
    </row>
    <row r="17" spans="1:50" x14ac:dyDescent="0.3">
      <c r="A17" s="40"/>
      <c r="B17" s="55"/>
      <c r="C17" s="40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40"/>
      <c r="J17" s="107">
        <f t="shared" si="18"/>
        <v>141.86281403996469</v>
      </c>
      <c r="K17" s="107">
        <f t="shared" si="12"/>
        <v>166.95366120882071</v>
      </c>
      <c r="L17" s="107">
        <v>0.04</v>
      </c>
      <c r="M17" s="107">
        <v>0.06</v>
      </c>
      <c r="N17" s="107">
        <f t="shared" si="2"/>
        <v>71.251853205395122</v>
      </c>
      <c r="O17" s="107">
        <f t="shared" si="3"/>
        <v>96.555833911960292</v>
      </c>
      <c r="P17" s="107">
        <f t="shared" si="23"/>
        <v>5.6745125615985881</v>
      </c>
      <c r="Q17" s="107">
        <f t="shared" si="13"/>
        <v>6.5973938153143612</v>
      </c>
      <c r="R17" s="107"/>
      <c r="S17" s="107"/>
      <c r="T17" s="107"/>
      <c r="U17" s="107"/>
      <c r="V17" s="107"/>
      <c r="W17" s="107">
        <f t="shared" si="0"/>
        <v>180.07959349426835</v>
      </c>
      <c r="X17" s="107">
        <f t="shared" si="14"/>
        <v>184.42230060519901</v>
      </c>
      <c r="Y17" s="107">
        <v>38.4</v>
      </c>
      <c r="Z17" s="107">
        <f t="shared" si="19"/>
        <v>7.2828000000000008</v>
      </c>
      <c r="AA17" s="107"/>
      <c r="AB17" s="107">
        <f>AB16*(1+$B$3)</f>
        <v>5.202</v>
      </c>
      <c r="AC17" s="107">
        <f t="shared" si="22"/>
        <v>15.042057898916747</v>
      </c>
      <c r="AD17" s="107">
        <v>4.08</v>
      </c>
      <c r="AE17" s="107">
        <v>8</v>
      </c>
      <c r="AF17" s="107">
        <v>7.6</v>
      </c>
      <c r="AG17" s="107">
        <f t="shared" si="5"/>
        <v>6.4390563637468183</v>
      </c>
      <c r="AH17" s="107">
        <f t="shared" si="5"/>
        <v>5.0140192996389139</v>
      </c>
      <c r="AI17" s="107"/>
      <c r="AJ17" s="107">
        <f t="shared" si="20"/>
        <v>24</v>
      </c>
      <c r="AK17" s="107">
        <f t="shared" si="15"/>
        <v>8.1807683309898103</v>
      </c>
      <c r="AL17" s="107"/>
      <c r="AM17" s="117"/>
      <c r="AN17" s="107"/>
      <c r="AO17" s="107">
        <f t="shared" si="6"/>
        <v>129.24070189329228</v>
      </c>
      <c r="AP17" s="110">
        <f t="shared" si="1"/>
        <v>50.838891600976069</v>
      </c>
      <c r="AQ17" s="110">
        <f t="shared" si="7"/>
        <v>192.70170564094076</v>
      </c>
      <c r="AR17" s="107">
        <f t="shared" si="16"/>
        <v>222.13525992072744</v>
      </c>
      <c r="AS17" s="107"/>
      <c r="AT17" s="112">
        <f t="shared" si="8"/>
        <v>4.2751111923237071</v>
      </c>
      <c r="AU17" s="112">
        <f t="shared" si="17"/>
        <v>2.7503999999999995</v>
      </c>
      <c r="AV17" s="112">
        <f t="shared" si="9"/>
        <v>223.9624256776307</v>
      </c>
      <c r="AW17" s="112">
        <f t="shared" si="10"/>
        <v>206.16095282142132</v>
      </c>
      <c r="AX17" s="112">
        <f t="shared" si="21"/>
        <v>170.85650552056077</v>
      </c>
    </row>
    <row r="18" spans="1:50" x14ac:dyDescent="0.3">
      <c r="A18" s="40"/>
      <c r="B18" s="55"/>
      <c r="C18" s="40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40"/>
      <c r="J18" s="107">
        <f t="shared" si="18"/>
        <v>192.70170564094076</v>
      </c>
      <c r="K18" s="107">
        <f t="shared" si="12"/>
        <v>222.13525992072744</v>
      </c>
      <c r="L18" s="107">
        <v>0.04</v>
      </c>
      <c r="M18" s="107">
        <v>0.06</v>
      </c>
      <c r="N18" s="107">
        <f t="shared" si="2"/>
        <v>72.676890269503019</v>
      </c>
      <c r="O18" s="107">
        <f t="shared" si="3"/>
        <v>97.521392251079902</v>
      </c>
      <c r="P18" s="107">
        <f t="shared" si="23"/>
        <v>7.7080682256376303</v>
      </c>
      <c r="Q18" s="107">
        <f t="shared" si="13"/>
        <v>6.7293416916206485</v>
      </c>
      <c r="R18" s="107"/>
      <c r="S18" s="107"/>
      <c r="T18" s="107"/>
      <c r="U18" s="107"/>
      <c r="V18" s="107"/>
      <c r="W18" s="107">
        <f t="shared" si="0"/>
        <v>184.63569243784119</v>
      </c>
      <c r="X18" s="107">
        <f t="shared" si="14"/>
        <v>190.25573980744721</v>
      </c>
      <c r="Y18" s="107">
        <v>38.4</v>
      </c>
      <c r="Z18" s="107">
        <f t="shared" si="19"/>
        <v>7.4284560000000006</v>
      </c>
      <c r="AA18" s="107"/>
      <c r="AB18" s="107">
        <f>AB17*(1+$B$3)</f>
        <v>5.3060400000000003</v>
      </c>
      <c r="AC18" s="107">
        <f t="shared" si="22"/>
        <v>15.342899056895082</v>
      </c>
      <c r="AD18" s="107">
        <v>4.08</v>
      </c>
      <c r="AE18" s="107">
        <v>8.3000000000000007</v>
      </c>
      <c r="AF18" s="107">
        <v>7.6</v>
      </c>
      <c r="AG18" s="107">
        <f t="shared" si="5"/>
        <v>6.5678374910217547</v>
      </c>
      <c r="AH18" s="107">
        <f t="shared" si="5"/>
        <v>5.1142996856316927</v>
      </c>
      <c r="AI18" s="107"/>
      <c r="AJ18" s="107">
        <f t="shared" si="20"/>
        <v>24</v>
      </c>
      <c r="AK18" s="107">
        <f t="shared" si="15"/>
        <v>8.3443836976096062</v>
      </c>
      <c r="AL18" s="107"/>
      <c r="AM18" s="117"/>
      <c r="AN18" s="107"/>
      <c r="AO18" s="107">
        <f t="shared" si="6"/>
        <v>130.48391593115812</v>
      </c>
      <c r="AP18" s="110">
        <f t="shared" si="1"/>
        <v>54.151776506683063</v>
      </c>
      <c r="AQ18" s="110">
        <f t="shared" si="7"/>
        <v>246.85348214762382</v>
      </c>
      <c r="AR18" s="107">
        <f t="shared" si="16"/>
        <v>281.90708379701653</v>
      </c>
      <c r="AS18" s="107"/>
      <c r="AT18" s="112">
        <f t="shared" si="8"/>
        <v>4.3606134161701808</v>
      </c>
      <c r="AU18" s="112">
        <f t="shared" si="17"/>
        <v>2.7503999999999995</v>
      </c>
      <c r="AV18" s="112">
        <f t="shared" si="9"/>
        <v>237.28153612090611</v>
      </c>
      <c r="AW18" s="112">
        <f t="shared" si="10"/>
        <v>217.15779093427818</v>
      </c>
      <c r="AX18" s="112">
        <f t="shared" si="21"/>
        <v>177.69076574138322</v>
      </c>
    </row>
    <row r="19" spans="1:50" x14ac:dyDescent="0.3">
      <c r="A19" s="40"/>
      <c r="B19" s="55"/>
      <c r="C19" s="40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40"/>
      <c r="J19" s="107">
        <f t="shared" si="18"/>
        <v>246.85348214762382</v>
      </c>
      <c r="K19" s="107">
        <f t="shared" si="12"/>
        <v>281.90708379701653</v>
      </c>
      <c r="L19" s="107">
        <v>0.04</v>
      </c>
      <c r="M19" s="107">
        <v>0.06</v>
      </c>
      <c r="N19" s="107">
        <f t="shared" si="2"/>
        <v>74.130428074893075</v>
      </c>
      <c r="O19" s="107">
        <f t="shared" si="3"/>
        <v>98.496606173590706</v>
      </c>
      <c r="P19" s="107">
        <f t="shared" si="23"/>
        <v>9.8741392859049526</v>
      </c>
      <c r="Q19" s="107">
        <f t="shared" si="13"/>
        <v>6.863928525453062</v>
      </c>
      <c r="R19" s="107"/>
      <c r="S19" s="107"/>
      <c r="T19" s="107"/>
      <c r="U19" s="107"/>
      <c r="V19" s="107"/>
      <c r="W19" s="107">
        <f t="shared" si="0"/>
        <v>189.36510205984177</v>
      </c>
      <c r="X19" s="107">
        <f t="shared" si="14"/>
        <v>196.4053878017578</v>
      </c>
      <c r="Y19" s="107"/>
      <c r="Z19" s="107">
        <f t="shared" si="19"/>
        <v>7.5770251200000009</v>
      </c>
      <c r="AA19" s="107"/>
      <c r="AB19" s="107">
        <f>AB18*(1+$B$3)</f>
        <v>5.4121608000000005</v>
      </c>
      <c r="AC19" s="107">
        <f t="shared" si="22"/>
        <v>15.649757038032984</v>
      </c>
      <c r="AD19" s="107">
        <v>4.08</v>
      </c>
      <c r="AE19" s="107">
        <v>8.5</v>
      </c>
      <c r="AF19" s="107">
        <v>7.6</v>
      </c>
      <c r="AG19" s="107">
        <f t="shared" si="5"/>
        <v>6.6991942408421901</v>
      </c>
      <c r="AH19" s="107">
        <f t="shared" si="5"/>
        <v>5.2165856793443268</v>
      </c>
      <c r="AI19" s="107"/>
      <c r="AJ19" s="107">
        <f t="shared" si="20"/>
        <v>24</v>
      </c>
      <c r="AK19" s="107">
        <f t="shared" si="15"/>
        <v>8.5112713715617989</v>
      </c>
      <c r="AL19" s="107"/>
      <c r="AM19" s="117"/>
      <c r="AN19" s="107"/>
      <c r="AO19" s="107">
        <f t="shared" si="6"/>
        <v>93.245994249781305</v>
      </c>
      <c r="AP19" s="110">
        <f t="shared" si="1"/>
        <v>96.11910781006047</v>
      </c>
      <c r="AQ19" s="110">
        <f t="shared" si="7"/>
        <v>342.97258995768431</v>
      </c>
      <c r="AR19" s="107">
        <f t="shared" si="16"/>
        <v>385.06647734899303</v>
      </c>
      <c r="AS19" s="107"/>
      <c r="AT19" s="112">
        <f t="shared" si="8"/>
        <v>4.4478256844935844</v>
      </c>
      <c r="AU19" s="112">
        <f t="shared" si="17"/>
        <v>2.7503999999999995</v>
      </c>
      <c r="AV19" s="112">
        <f t="shared" si="9"/>
        <v>251.22062325023595</v>
      </c>
      <c r="AW19" s="112">
        <f t="shared" si="10"/>
        <v>228.59450257164934</v>
      </c>
      <c r="AX19" s="112">
        <f t="shared" si="21"/>
        <v>184.79839637103856</v>
      </c>
    </row>
    <row r="20" spans="1:50" x14ac:dyDescent="0.3">
      <c r="A20" s="40"/>
      <c r="B20" s="55"/>
      <c r="C20" s="40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40"/>
      <c r="J20" s="107">
        <f t="shared" si="18"/>
        <v>342.97258995768431</v>
      </c>
      <c r="K20" s="107">
        <f t="shared" si="12"/>
        <v>385.06647734899303</v>
      </c>
      <c r="L20" s="107">
        <v>0.04</v>
      </c>
      <c r="M20" s="107">
        <v>0.06</v>
      </c>
      <c r="N20" s="107">
        <f t="shared" si="2"/>
        <v>75.613036636390945</v>
      </c>
      <c r="O20" s="107">
        <f t="shared" si="3"/>
        <v>99.48157223532661</v>
      </c>
      <c r="P20" s="107">
        <f t="shared" si="23"/>
        <v>13.718903598307373</v>
      </c>
      <c r="Q20" s="107">
        <f t="shared" si="13"/>
        <v>7.0012070959621235</v>
      </c>
      <c r="R20" s="107"/>
      <c r="S20" s="107"/>
      <c r="T20" s="107"/>
      <c r="U20" s="107"/>
      <c r="V20" s="107"/>
      <c r="W20" s="107">
        <f t="shared" si="0"/>
        <v>195.81471956598705</v>
      </c>
      <c r="X20" s="107">
        <f t="shared" si="14"/>
        <v>205.19980460861925</v>
      </c>
      <c r="Y20" s="107"/>
      <c r="Z20" s="107">
        <f t="shared" si="19"/>
        <v>7.7285656224000014</v>
      </c>
      <c r="AA20" s="107"/>
      <c r="AB20" s="107">
        <f>AB19*(1+$B$3)</f>
        <v>5.5204040160000005</v>
      </c>
      <c r="AC20" s="107">
        <f t="shared" si="22"/>
        <v>15.962752178793645</v>
      </c>
      <c r="AD20" s="107">
        <v>4.08</v>
      </c>
      <c r="AE20" s="107">
        <v>8.8000000000000007</v>
      </c>
      <c r="AF20" s="107">
        <v>7.6</v>
      </c>
      <c r="AG20" s="107">
        <f t="shared" ref="AG20:AH27" si="24">AG19*(1+$B$3)</f>
        <v>6.8331781256590336</v>
      </c>
      <c r="AH20" s="107">
        <f t="shared" si="24"/>
        <v>5.3209173929312135</v>
      </c>
      <c r="AI20" s="107"/>
      <c r="AJ20" s="107">
        <f t="shared" si="20"/>
        <v>24</v>
      </c>
      <c r="AK20" s="107">
        <f t="shared" si="15"/>
        <v>8.6814967989930345</v>
      </c>
      <c r="AL20" s="107"/>
      <c r="AM20" s="117"/>
      <c r="AN20" s="107"/>
      <c r="AO20" s="107">
        <f t="shared" si="6"/>
        <v>94.52731413477693</v>
      </c>
      <c r="AP20" s="110">
        <f t="shared" si="1"/>
        <v>101.28740543121012</v>
      </c>
      <c r="AQ20" s="110">
        <f t="shared" si="7"/>
        <v>444.25999538889442</v>
      </c>
      <c r="AR20" s="107">
        <f t="shared" si="16"/>
        <v>495.73896782283532</v>
      </c>
      <c r="AS20" s="107"/>
      <c r="AT20" s="112">
        <f t="shared" si="8"/>
        <v>4.5367821981834568</v>
      </c>
      <c r="AU20" s="112">
        <f t="shared" si="17"/>
        <v>2.7503999999999995</v>
      </c>
      <c r="AV20" s="112">
        <f t="shared" si="9"/>
        <v>265.80623037842884</v>
      </c>
      <c r="AW20" s="112">
        <f t="shared" si="10"/>
        <v>240.48868267451533</v>
      </c>
      <c r="AX20" s="112">
        <f t="shared" si="21"/>
        <v>192.19033222588013</v>
      </c>
    </row>
    <row r="21" spans="1:50" x14ac:dyDescent="0.3">
      <c r="A21" s="40"/>
      <c r="B21" s="55"/>
      <c r="C21" s="40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40"/>
      <c r="J21" s="107">
        <f t="shared" si="18"/>
        <v>444.25999538889442</v>
      </c>
      <c r="K21" s="107">
        <f t="shared" si="12"/>
        <v>495.73896782283532</v>
      </c>
      <c r="L21" s="107">
        <v>0.04</v>
      </c>
      <c r="M21" s="107">
        <v>0.06</v>
      </c>
      <c r="N21" s="107">
        <f t="shared" si="2"/>
        <v>77.125297369118769</v>
      </c>
      <c r="O21" s="107">
        <f t="shared" si="3"/>
        <v>100.47638795767988</v>
      </c>
      <c r="P21" s="107">
        <f t="shared" si="23"/>
        <v>17.770399815555777</v>
      </c>
      <c r="Q21" s="107">
        <f t="shared" si="13"/>
        <v>7.1412312378813665</v>
      </c>
      <c r="R21" s="107"/>
      <c r="S21" s="107"/>
      <c r="T21" s="107"/>
      <c r="U21" s="107"/>
      <c r="V21" s="107"/>
      <c r="W21" s="107">
        <f t="shared" si="0"/>
        <v>202.51331638023578</v>
      </c>
      <c r="X21" s="107">
        <f t="shared" si="14"/>
        <v>214.48725463405012</v>
      </c>
      <c r="Y21" s="107"/>
      <c r="Z21" s="107">
        <v>8</v>
      </c>
      <c r="AA21" s="107"/>
      <c r="AB21" s="107">
        <v>6</v>
      </c>
      <c r="AC21" s="107">
        <f t="shared" si="22"/>
        <v>16.282007222369518</v>
      </c>
      <c r="AD21" s="107">
        <v>4.08</v>
      </c>
      <c r="AE21" s="107">
        <v>9.1</v>
      </c>
      <c r="AF21" s="107">
        <v>7.6</v>
      </c>
      <c r="AG21" s="107">
        <f t="shared" si="24"/>
        <v>6.9698416881722141</v>
      </c>
      <c r="AH21" s="107">
        <f t="shared" si="24"/>
        <v>5.4273357407898377</v>
      </c>
      <c r="AI21" s="107"/>
      <c r="AJ21" s="107">
        <f t="shared" si="20"/>
        <v>24</v>
      </c>
      <c r="AK21" s="107">
        <f t="shared" si="15"/>
        <v>8.8551267349728953</v>
      </c>
      <c r="AL21" s="107"/>
      <c r="AM21" s="117"/>
      <c r="AN21" s="107"/>
      <c r="AO21" s="107">
        <f t="shared" si="6"/>
        <v>96.314311386304482</v>
      </c>
      <c r="AP21" s="110">
        <f t="shared" si="1"/>
        <v>106.1990049939313</v>
      </c>
      <c r="AQ21" s="110">
        <f t="shared" si="7"/>
        <v>550.45900038282571</v>
      </c>
      <c r="AR21" s="107">
        <f t="shared" si="16"/>
        <v>613.91191107058103</v>
      </c>
      <c r="AS21" s="107"/>
      <c r="AT21" s="112">
        <f t="shared" si="8"/>
        <v>4.6275178421471264</v>
      </c>
      <c r="AU21" s="112">
        <f t="shared" si="17"/>
        <v>2.7503999999999995</v>
      </c>
      <c r="AV21" s="112">
        <f t="shared" si="9"/>
        <v>281.06599743571314</v>
      </c>
      <c r="AW21" s="112">
        <f t="shared" si="10"/>
        <v>252.85862998149597</v>
      </c>
      <c r="AX21" s="112">
        <f t="shared" si="21"/>
        <v>199.87794551491533</v>
      </c>
    </row>
    <row r="22" spans="1:50" x14ac:dyDescent="0.3">
      <c r="A22" s="40"/>
      <c r="B22" s="55"/>
      <c r="C22" s="40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J22" s="107">
        <f t="shared" si="18"/>
        <v>550.45900038282571</v>
      </c>
      <c r="K22" s="107">
        <f t="shared" si="12"/>
        <v>613.91191107058103</v>
      </c>
      <c r="L22" s="107">
        <v>0.04</v>
      </c>
      <c r="M22" s="107">
        <v>0.06</v>
      </c>
      <c r="N22" s="107">
        <f t="shared" si="2"/>
        <v>78.66780331650115</v>
      </c>
      <c r="O22" s="107">
        <f t="shared" si="3"/>
        <v>101.48115183725668</v>
      </c>
      <c r="P22" s="107">
        <f t="shared" si="23"/>
        <v>22.018360015313029</v>
      </c>
      <c r="Q22" s="107">
        <f t="shared" si="13"/>
        <v>7.2840558626389935</v>
      </c>
      <c r="R22" s="107"/>
      <c r="S22" s="107"/>
      <c r="T22" s="107"/>
      <c r="U22" s="107"/>
      <c r="V22" s="107"/>
      <c r="W22" s="107">
        <f t="shared" si="0"/>
        <v>209.45137103170981</v>
      </c>
      <c r="X22" s="107">
        <f t="shared" si="14"/>
        <v>224.26772568063166</v>
      </c>
      <c r="Y22" s="107"/>
      <c r="Z22" s="107">
        <f>Z21*(1+$B$3)</f>
        <v>8.16</v>
      </c>
      <c r="AA22" s="107"/>
      <c r="AB22" s="107">
        <f>AB21*(1+$B$3)</f>
        <v>6.12</v>
      </c>
      <c r="AC22" s="107">
        <f t="shared" si="22"/>
        <v>16.607647366816909</v>
      </c>
      <c r="AD22" s="107">
        <v>4.08</v>
      </c>
      <c r="AE22" s="107">
        <v>9.4</v>
      </c>
      <c r="AF22" s="107">
        <v>7.6</v>
      </c>
      <c r="AG22" s="107">
        <f t="shared" si="24"/>
        <v>7.1092385219356586</v>
      </c>
      <c r="AH22" s="107">
        <f t="shared" si="24"/>
        <v>5.535882455605635</v>
      </c>
      <c r="AI22" s="107"/>
      <c r="AJ22" s="107">
        <f t="shared" si="20"/>
        <v>24</v>
      </c>
      <c r="AK22" s="107">
        <f t="shared" si="15"/>
        <v>9.032229269672353</v>
      </c>
      <c r="AL22" s="107"/>
      <c r="AM22" s="117"/>
      <c r="AN22" s="107"/>
      <c r="AO22" s="107">
        <f t="shared" si="6"/>
        <v>97.644997614030558</v>
      </c>
      <c r="AP22" s="110">
        <f t="shared" si="1"/>
        <v>111.80637341767925</v>
      </c>
      <c r="AQ22" s="110">
        <f t="shared" si="7"/>
        <v>662.2653738005049</v>
      </c>
      <c r="AR22" s="107">
        <f t="shared" si="16"/>
        <v>740.53463913718213</v>
      </c>
      <c r="AS22" s="107"/>
      <c r="AT22" s="112">
        <f t="shared" si="8"/>
        <v>4.7200681989900692</v>
      </c>
      <c r="AU22" s="112">
        <f t="shared" si="17"/>
        <v>2.7503999999999995</v>
      </c>
      <c r="AV22" s="112">
        <f t="shared" si="9"/>
        <v>297.02870553213177</v>
      </c>
      <c r="AW22" s="112">
        <f t="shared" si="10"/>
        <v>265.72337518075585</v>
      </c>
      <c r="AX22" s="112">
        <f t="shared" si="21"/>
        <v>207.87306333551194</v>
      </c>
    </row>
    <row r="23" spans="1:50" x14ac:dyDescent="0.3">
      <c r="A23" s="40"/>
      <c r="B23" s="55"/>
      <c r="C23" s="40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40" t="s">
        <v>137</v>
      </c>
      <c r="J23" s="107">
        <f t="shared" si="18"/>
        <v>662.2653738005049</v>
      </c>
      <c r="K23" s="107">
        <f t="shared" si="12"/>
        <v>740.53463913718213</v>
      </c>
      <c r="L23" s="107">
        <v>0.04</v>
      </c>
      <c r="M23" s="107">
        <v>0.06</v>
      </c>
      <c r="N23" s="107">
        <f t="shared" si="2"/>
        <v>80.241159382831171</v>
      </c>
      <c r="O23" s="107">
        <f t="shared" si="3"/>
        <v>102.49596335562924</v>
      </c>
      <c r="P23" s="107">
        <f t="shared" si="23"/>
        <v>26.490614952020195</v>
      </c>
      <c r="Q23" s="107">
        <f t="shared" si="13"/>
        <v>7.4297369798917732</v>
      </c>
      <c r="R23" s="107"/>
      <c r="S23" s="107"/>
      <c r="T23" s="107"/>
      <c r="U23" s="107"/>
      <c r="V23" s="107"/>
      <c r="W23" s="107">
        <f t="shared" si="0"/>
        <v>216.65747467037238</v>
      </c>
      <c r="X23" s="107">
        <f t="shared" si="14"/>
        <v>234.59893806658312</v>
      </c>
      <c r="Y23" s="107"/>
      <c r="Z23" s="107">
        <f t="shared" si="19"/>
        <v>8.3231999999999999</v>
      </c>
      <c r="AA23" s="107"/>
      <c r="AB23" s="107">
        <f>AB22*(1+$B$3)</f>
        <v>6.2423999999999999</v>
      </c>
      <c r="AC23" s="107">
        <f t="shared" si="22"/>
        <v>16.939800314153249</v>
      </c>
      <c r="AD23" s="107">
        <v>4.08</v>
      </c>
      <c r="AE23" s="107">
        <v>9.6999999999999993</v>
      </c>
      <c r="AF23" s="107">
        <v>7.6</v>
      </c>
      <c r="AG23" s="107">
        <f t="shared" si="24"/>
        <v>7.2514232923743718</v>
      </c>
      <c r="AH23" s="107">
        <f t="shared" si="24"/>
        <v>5.6466001047177476</v>
      </c>
      <c r="AI23" s="107"/>
      <c r="AJ23" s="107">
        <f t="shared" si="20"/>
        <v>24</v>
      </c>
      <c r="AK23" s="107">
        <f t="shared" si="15"/>
        <v>9.2128738550657996</v>
      </c>
      <c r="AL23" s="107"/>
      <c r="AM23" s="117">
        <f>理財目標費用終值!D14</f>
        <v>104.0163177184848</v>
      </c>
      <c r="AN23" s="107"/>
      <c r="AO23" s="107">
        <f t="shared" si="6"/>
        <v>203.01261528479597</v>
      </c>
      <c r="AP23" s="110">
        <f t="shared" si="1"/>
        <v>13.64485938557641</v>
      </c>
      <c r="AQ23" s="110">
        <f t="shared" si="7"/>
        <v>675.91023318608131</v>
      </c>
      <c r="AR23" s="107">
        <f t="shared" si="16"/>
        <v>772.12096191896933</v>
      </c>
      <c r="AS23" s="107"/>
      <c r="AT23" s="112">
        <f t="shared" si="8"/>
        <v>4.8144695629698697</v>
      </c>
      <c r="AU23" s="112">
        <f t="shared" si="17"/>
        <v>2.7503999999999995</v>
      </c>
      <c r="AV23" s="112">
        <f t="shared" si="9"/>
        <v>313.72432331638691</v>
      </c>
      <c r="AW23" s="112">
        <f t="shared" si="10"/>
        <v>279.10271018798613</v>
      </c>
      <c r="AX23" s="112">
        <f t="shared" si="21"/>
        <v>216.18798586893243</v>
      </c>
    </row>
    <row r="24" spans="1:50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J24" s="107">
        <f t="shared" si="18"/>
        <v>675.91023318608131</v>
      </c>
      <c r="K24" s="107">
        <f t="shared" si="12"/>
        <v>772.12096191896933</v>
      </c>
      <c r="L24" s="107">
        <v>0.04</v>
      </c>
      <c r="M24" s="107">
        <v>0.06</v>
      </c>
      <c r="N24" s="107">
        <f t="shared" si="2"/>
        <v>81.845982570487791</v>
      </c>
      <c r="O24" s="107">
        <f t="shared" si="3"/>
        <v>103.52092298918554</v>
      </c>
      <c r="P24" s="107">
        <f t="shared" si="23"/>
        <v>27.036409327443252</v>
      </c>
      <c r="Q24" s="107">
        <f t="shared" si="13"/>
        <v>7.5783317194896087</v>
      </c>
      <c r="R24" s="107"/>
      <c r="S24" s="107"/>
      <c r="T24" s="107"/>
      <c r="U24" s="112"/>
      <c r="V24" s="112"/>
      <c r="W24" s="107">
        <f t="shared" si="0"/>
        <v>219.9816466066062</v>
      </c>
      <c r="X24" s="107">
        <f t="shared" si="14"/>
        <v>239.2724949943011</v>
      </c>
      <c r="Y24" s="112"/>
      <c r="Z24" s="107">
        <f t="shared" si="19"/>
        <v>8.4896639999999994</v>
      </c>
      <c r="AA24" s="112"/>
      <c r="AB24" s="107">
        <f>AB23*(1+$B$3)</f>
        <v>6.367248</v>
      </c>
      <c r="AC24" s="107">
        <f t="shared" si="22"/>
        <v>17.278596320436314</v>
      </c>
      <c r="AD24" s="107">
        <v>4.08</v>
      </c>
      <c r="AE24" s="107">
        <v>10</v>
      </c>
      <c r="AF24" s="107">
        <v>6.4</v>
      </c>
      <c r="AG24" s="107">
        <f t="shared" si="24"/>
        <v>7.3964517582218594</v>
      </c>
      <c r="AH24" s="107">
        <f t="shared" si="24"/>
        <v>5.7595321068121024</v>
      </c>
      <c r="AI24" s="112"/>
      <c r="AJ24" s="107"/>
      <c r="AK24" s="112"/>
      <c r="AL24" s="112"/>
      <c r="AM24" s="112"/>
      <c r="AN24" s="112"/>
      <c r="AO24" s="107">
        <f t="shared" si="6"/>
        <v>65.771492185470265</v>
      </c>
      <c r="AP24" s="110">
        <f t="shared" si="1"/>
        <v>154.21015442113594</v>
      </c>
      <c r="AQ24" s="110">
        <f t="shared" si="7"/>
        <v>830.12038760721725</v>
      </c>
      <c r="AR24" s="107">
        <f t="shared" si="16"/>
        <v>945.62196472780022</v>
      </c>
      <c r="AS24" s="107"/>
      <c r="AT24" s="112">
        <f t="shared" si="8"/>
        <v>4.9107589542292676</v>
      </c>
      <c r="AU24" s="112">
        <f t="shared" si="17"/>
        <v>2.7503999999999995</v>
      </c>
      <c r="AV24" s="112">
        <f t="shared" si="9"/>
        <v>331.18405520327167</v>
      </c>
      <c r="AW24" s="112">
        <f t="shared" si="10"/>
        <v>293.0172185955056</v>
      </c>
      <c r="AX24" s="112">
        <f t="shared" si="21"/>
        <v>224.83550530368973</v>
      </c>
    </row>
    <row r="25" spans="1:50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J25" s="107">
        <f t="shared" si="18"/>
        <v>830.12038760721725</v>
      </c>
      <c r="K25" s="107">
        <f t="shared" si="12"/>
        <v>945.62196472780022</v>
      </c>
      <c r="L25" s="107">
        <v>0.04</v>
      </c>
      <c r="M25" s="107">
        <v>0.06</v>
      </c>
      <c r="N25" s="107">
        <f t="shared" si="2"/>
        <v>83.482902221897547</v>
      </c>
      <c r="O25" s="107">
        <f t="shared" si="3"/>
        <v>104.5561322190774</v>
      </c>
      <c r="P25" s="107">
        <f t="shared" si="23"/>
        <v>33.204815504288689</v>
      </c>
      <c r="Q25" s="107">
        <f t="shared" si="13"/>
        <v>7.7298983538794008</v>
      </c>
      <c r="R25" s="107"/>
      <c r="S25" s="107"/>
      <c r="T25" s="107"/>
      <c r="U25" s="112"/>
      <c r="V25" s="112"/>
      <c r="W25" s="107">
        <f t="shared" si="0"/>
        <v>228.97374829914304</v>
      </c>
      <c r="X25" s="107">
        <f t="shared" si="14"/>
        <v>252.50625067852238</v>
      </c>
      <c r="Y25" s="112"/>
      <c r="Z25" s="107">
        <f t="shared" si="19"/>
        <v>8.6594572799999998</v>
      </c>
      <c r="AA25" s="112"/>
      <c r="AB25" s="107">
        <f>AB24*(1+$B$3)</f>
        <v>6.4945929600000003</v>
      </c>
      <c r="AC25" s="107">
        <f t="shared" si="22"/>
        <v>17.624168246845041</v>
      </c>
      <c r="AD25" s="107">
        <v>4.08</v>
      </c>
      <c r="AE25" s="107">
        <v>10.3</v>
      </c>
      <c r="AF25" s="107">
        <v>6.4</v>
      </c>
      <c r="AG25" s="107">
        <f t="shared" si="24"/>
        <v>7.5443807933862965</v>
      </c>
      <c r="AH25" s="107">
        <f t="shared" si="24"/>
        <v>5.8747227489483445</v>
      </c>
      <c r="AI25" s="112"/>
      <c r="AJ25" s="112"/>
      <c r="AK25" s="112"/>
      <c r="AL25" s="112"/>
      <c r="AM25" s="112"/>
      <c r="AN25" s="112"/>
      <c r="AO25" s="107">
        <f t="shared" si="6"/>
        <v>66.977322029179689</v>
      </c>
      <c r="AP25" s="110">
        <f t="shared" si="1"/>
        <v>161.99642626996337</v>
      </c>
      <c r="AQ25" s="110">
        <f t="shared" si="7"/>
        <v>992.11681387718068</v>
      </c>
      <c r="AR25" s="107">
        <f t="shared" si="16"/>
        <v>1131.1508933771429</v>
      </c>
      <c r="AS25" s="107"/>
      <c r="AT25" s="112">
        <f t="shared" si="8"/>
        <v>5.0089741333138527</v>
      </c>
      <c r="AU25" s="112">
        <f t="shared" si="17"/>
        <v>2.7503999999999995</v>
      </c>
      <c r="AV25" s="112">
        <f t="shared" si="9"/>
        <v>349.44039154471642</v>
      </c>
      <c r="AW25" s="112">
        <f t="shared" si="10"/>
        <v>307.48830733932584</v>
      </c>
      <c r="AX25" s="112">
        <f t="shared" si="21"/>
        <v>233.82892551583731</v>
      </c>
    </row>
    <row r="26" spans="1:50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J26" s="107">
        <f t="shared" si="18"/>
        <v>992.11681387718068</v>
      </c>
      <c r="K26" s="107">
        <f t="shared" si="12"/>
        <v>1131.1508933771429</v>
      </c>
      <c r="L26" s="107">
        <v>0.04</v>
      </c>
      <c r="M26" s="107">
        <v>0.06</v>
      </c>
      <c r="N26" s="107">
        <f t="shared" si="2"/>
        <v>85.152560266335499</v>
      </c>
      <c r="O26" s="107">
        <f t="shared" si="3"/>
        <v>105.60169354126818</v>
      </c>
      <c r="P26" s="107">
        <f t="shared" si="23"/>
        <v>39.684672555087225</v>
      </c>
      <c r="Q26" s="107">
        <f t="shared" si="13"/>
        <v>7.8844963209569894</v>
      </c>
      <c r="R26" s="107"/>
      <c r="S26" s="107"/>
      <c r="T26" s="107"/>
      <c r="U26" s="112"/>
      <c r="V26" s="112"/>
      <c r="W26" s="107">
        <f t="shared" si="0"/>
        <v>238.32342268364789</v>
      </c>
      <c r="X26" s="107">
        <f t="shared" si="14"/>
        <v>266.50780373118926</v>
      </c>
      <c r="Y26" s="112"/>
      <c r="Z26" s="107">
        <f t="shared" si="19"/>
        <v>8.8326464256000001</v>
      </c>
      <c r="AA26" s="112"/>
      <c r="AB26" s="107">
        <f>AB25*(1+$B$3)</f>
        <v>6.6244848192000001</v>
      </c>
      <c r="AC26" s="107">
        <f t="shared" si="22"/>
        <v>17.976651611781943</v>
      </c>
      <c r="AD26" s="107">
        <v>4.08</v>
      </c>
      <c r="AE26" s="107">
        <v>10.6</v>
      </c>
      <c r="AF26" s="107">
        <v>6.4</v>
      </c>
      <c r="AG26" s="107">
        <f t="shared" si="24"/>
        <v>7.6952684092540222</v>
      </c>
      <c r="AH26" s="107">
        <f t="shared" si="24"/>
        <v>5.9922172039273116</v>
      </c>
      <c r="AI26" s="112"/>
      <c r="AJ26" s="112"/>
      <c r="AK26" s="112"/>
      <c r="AL26" s="112"/>
      <c r="AM26" s="112"/>
      <c r="AN26" s="112"/>
      <c r="AO26" s="107">
        <f t="shared" si="6"/>
        <v>68.201268469763278</v>
      </c>
      <c r="AP26" s="110">
        <f t="shared" si="1"/>
        <v>170.12215421388461</v>
      </c>
      <c r="AQ26" s="110">
        <f t="shared" si="7"/>
        <v>1162.2389680910653</v>
      </c>
      <c r="AR26" s="107">
        <f t="shared" si="16"/>
        <v>1329.4574286385687</v>
      </c>
      <c r="AS26" s="107"/>
      <c r="AT26" s="112">
        <f t="shared" si="8"/>
        <v>5.1091536159801301</v>
      </c>
      <c r="AU26" s="112">
        <f t="shared" si="17"/>
        <v>2.7503999999999995</v>
      </c>
      <c r="AV26" s="112">
        <f t="shared" si="9"/>
        <v>368.5271608224852</v>
      </c>
      <c r="AW26" s="112">
        <f t="shared" si="10"/>
        <v>322.53823963289892</v>
      </c>
      <c r="AX26" s="112">
        <f t="shared" si="21"/>
        <v>243.1820825364708</v>
      </c>
    </row>
    <row r="27" spans="1:50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J27" s="107">
        <f t="shared" si="18"/>
        <v>1162.2389680910653</v>
      </c>
      <c r="K27" s="107">
        <f t="shared" si="12"/>
        <v>1329.4574286385687</v>
      </c>
      <c r="L27" s="107">
        <v>0.04</v>
      </c>
      <c r="M27" s="107">
        <v>0.06</v>
      </c>
      <c r="N27" s="107">
        <f t="shared" si="2"/>
        <v>86.855611471662215</v>
      </c>
      <c r="O27" s="107">
        <f t="shared" si="3"/>
        <v>106.65771047668086</v>
      </c>
      <c r="P27" s="107">
        <f t="shared" si="23"/>
        <v>46.489558723642617</v>
      </c>
      <c r="Q27" s="107">
        <f t="shared" si="13"/>
        <v>8.0421862473761294</v>
      </c>
      <c r="R27" s="107"/>
      <c r="S27" s="107"/>
      <c r="T27" s="107"/>
      <c r="U27" s="112"/>
      <c r="V27" s="112"/>
      <c r="W27" s="107">
        <f t="shared" si="0"/>
        <v>248.0450669193618</v>
      </c>
      <c r="X27" s="107">
        <f t="shared" si="14"/>
        <v>281.32295391403335</v>
      </c>
      <c r="Y27" s="112"/>
      <c r="Z27" s="107">
        <v>9</v>
      </c>
      <c r="AA27" s="112"/>
      <c r="AB27" s="107">
        <v>7</v>
      </c>
      <c r="AC27" s="107">
        <f t="shared" si="22"/>
        <v>18.336184644017582</v>
      </c>
      <c r="AD27" s="107">
        <v>4.08</v>
      </c>
      <c r="AE27" s="107">
        <v>10.9</v>
      </c>
      <c r="AF27" s="107">
        <v>6.4</v>
      </c>
      <c r="AG27" s="107">
        <f t="shared" si="24"/>
        <v>7.8491737774391028</v>
      </c>
      <c r="AH27" s="107">
        <f t="shared" si="24"/>
        <v>6.1120615480058582</v>
      </c>
      <c r="AI27" s="112"/>
      <c r="AJ27" s="112"/>
      <c r="AK27" s="112"/>
      <c r="AL27" s="112"/>
      <c r="AM27" s="112"/>
      <c r="AN27" s="112"/>
      <c r="AO27" s="107">
        <f t="shared" si="6"/>
        <v>69.677419969462534</v>
      </c>
      <c r="AP27" s="110">
        <f t="shared" si="1"/>
        <v>178.36764694989927</v>
      </c>
      <c r="AQ27" s="110">
        <f t="shared" si="7"/>
        <v>1340.6066150409647</v>
      </c>
      <c r="AR27" s="107">
        <f t="shared" si="16"/>
        <v>1541.1029625831395</v>
      </c>
      <c r="AS27" s="107"/>
      <c r="AT27" s="112">
        <f t="shared" si="8"/>
        <v>5.211336688299733</v>
      </c>
      <c r="AU27" s="112">
        <f t="shared" si="17"/>
        <v>2.7503999999999995</v>
      </c>
      <c r="AV27" s="112">
        <f t="shared" si="9"/>
        <v>388.47958394368436</v>
      </c>
      <c r="AW27" s="112">
        <f t="shared" si="10"/>
        <v>338.19016921821492</v>
      </c>
      <c r="AX27" s="112">
        <f t="shared" si="21"/>
        <v>252.90936583792964</v>
      </c>
    </row>
    <row r="28" spans="1:50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t="s">
        <v>135</v>
      </c>
      <c r="J28" s="107">
        <f t="shared" si="18"/>
        <v>1340.6066150409647</v>
      </c>
      <c r="K28" s="107">
        <f>AR27</f>
        <v>1541.1029625831395</v>
      </c>
      <c r="L28" s="107">
        <v>0.02</v>
      </c>
      <c r="M28" s="107">
        <v>0.04</v>
      </c>
      <c r="N28" s="112"/>
      <c r="O28" s="112"/>
      <c r="P28" s="107">
        <f t="shared" si="23"/>
        <v>26.812132300819293</v>
      </c>
      <c r="Q28" s="107">
        <f t="shared" si="13"/>
        <v>8.2030299723236517</v>
      </c>
      <c r="R28" s="112">
        <v>34.927080000000004</v>
      </c>
      <c r="S28" s="107">
        <v>29.131319999999995</v>
      </c>
      <c r="T28" s="107">
        <f>PMT(0.01/12,20*12,-AV27,,1)*12</f>
        <v>21.421294804000734</v>
      </c>
      <c r="U28" s="107">
        <f>PMT(0.01/12,20*12,-AW27,,1)*12</f>
        <v>18.648267795942825</v>
      </c>
      <c r="V28" s="107">
        <f>AX27</f>
        <v>252.90936583792964</v>
      </c>
      <c r="W28" s="107">
        <f t="shared" si="0"/>
        <v>392.05249071101616</v>
      </c>
      <c r="X28" s="107">
        <f>K28*M28+SUM(Q28:V28)</f>
        <v>426.88447691352241</v>
      </c>
      <c r="Y28" s="112"/>
      <c r="Z28" s="107"/>
      <c r="AA28" s="112"/>
      <c r="AB28" s="107"/>
      <c r="AC28" s="107"/>
      <c r="AD28" s="107"/>
      <c r="AE28" s="112"/>
      <c r="AF28" s="107">
        <v>4.2</v>
      </c>
      <c r="AG28" s="112"/>
      <c r="AH28" s="112"/>
      <c r="AI28" s="112"/>
      <c r="AJ28" s="112"/>
      <c r="AK28" s="112"/>
      <c r="AL28" s="107">
        <v>118.12363160146052</v>
      </c>
      <c r="AM28" s="112"/>
      <c r="AN28" s="107"/>
      <c r="AO28" s="107">
        <f t="shared" si="6"/>
        <v>122.32363160146052</v>
      </c>
      <c r="AP28" s="110">
        <f t="shared" si="1"/>
        <v>269.72885910955563</v>
      </c>
      <c r="AQ28" s="110">
        <f t="shared" si="7"/>
        <v>1610.3354741505204</v>
      </c>
      <c r="AR28" s="107">
        <f t="shared" si="16"/>
        <v>1845.6638078952014</v>
      </c>
      <c r="AS28" s="107"/>
      <c r="AT28" s="9"/>
      <c r="AU28" s="9"/>
      <c r="AV28" s="9"/>
      <c r="AW28" s="9"/>
      <c r="AX28" s="9"/>
    </row>
    <row r="29" spans="1:50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J29" s="107">
        <f t="shared" si="18"/>
        <v>1610.3354741505204</v>
      </c>
      <c r="K29" s="107">
        <f t="shared" si="12"/>
        <v>1845.6638078952014</v>
      </c>
      <c r="L29" s="107">
        <v>0.02</v>
      </c>
      <c r="M29" s="107">
        <v>0.04</v>
      </c>
      <c r="N29" s="112"/>
      <c r="O29" s="112"/>
      <c r="P29" s="107">
        <f t="shared" si="23"/>
        <v>32.206709483010407</v>
      </c>
      <c r="Q29" s="107">
        <f t="shared" si="13"/>
        <v>8.3670905717701256</v>
      </c>
      <c r="R29" s="112">
        <f>R28*(1+$B$3)</f>
        <v>35.625621600000002</v>
      </c>
      <c r="S29" s="112">
        <f>S28*(1+$B$3)</f>
        <v>29.713946399999994</v>
      </c>
      <c r="T29" s="107">
        <f>T28</f>
        <v>21.421294804000734</v>
      </c>
      <c r="U29" s="112">
        <f>U28</f>
        <v>18.648267795942825</v>
      </c>
      <c r="V29" s="112"/>
      <c r="W29" s="107">
        <f t="shared" si="0"/>
        <v>145.9829306547241</v>
      </c>
      <c r="X29" s="107">
        <f>K29*M29+SUM(Q29:V29)</f>
        <v>187.60277348752174</v>
      </c>
      <c r="Y29" s="112"/>
      <c r="Z29" s="107"/>
      <c r="AA29" s="112"/>
      <c r="AB29" s="107"/>
      <c r="AC29" s="112"/>
      <c r="AD29" s="112"/>
      <c r="AE29" s="112"/>
      <c r="AF29" s="107">
        <v>4.2</v>
      </c>
      <c r="AG29" s="112"/>
      <c r="AH29" s="112"/>
      <c r="AI29" s="112"/>
      <c r="AJ29" s="112"/>
      <c r="AK29" s="112"/>
      <c r="AL29" s="107">
        <f>AL28*(1+$B$3)</f>
        <v>120.48610423348973</v>
      </c>
      <c r="AM29" s="112"/>
      <c r="AN29" s="112"/>
      <c r="AO29" s="107">
        <f t="shared" si="6"/>
        <v>124.68610423348973</v>
      </c>
      <c r="AP29" s="110">
        <f t="shared" si="1"/>
        <v>21.296826421234371</v>
      </c>
      <c r="AQ29" s="110">
        <f t="shared" si="7"/>
        <v>1631.6323005717547</v>
      </c>
      <c r="AR29" s="107">
        <f t="shared" si="16"/>
        <v>1908.5804771492335</v>
      </c>
      <c r="AS29" s="107"/>
      <c r="AT29" s="9"/>
      <c r="AU29" s="9"/>
      <c r="AV29" s="9"/>
      <c r="AW29" s="9"/>
      <c r="AX29" s="9"/>
    </row>
    <row r="30" spans="1:50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J30" s="107">
        <f t="shared" si="18"/>
        <v>1631.6323005717547</v>
      </c>
      <c r="K30" s="107">
        <f t="shared" si="12"/>
        <v>1908.5804771492335</v>
      </c>
      <c r="L30" s="107">
        <v>0.02</v>
      </c>
      <c r="M30" s="107">
        <v>0.04</v>
      </c>
      <c r="N30" s="112"/>
      <c r="O30" s="112"/>
      <c r="P30" s="107">
        <f t="shared" si="23"/>
        <v>32.632646011435092</v>
      </c>
      <c r="Q30" s="107">
        <f t="shared" si="13"/>
        <v>8.5344323832055284</v>
      </c>
      <c r="R30" s="112">
        <f t="shared" si="13"/>
        <v>36.338134032000006</v>
      </c>
      <c r="S30" s="112">
        <f t="shared" si="13"/>
        <v>30.308225327999995</v>
      </c>
      <c r="T30" s="107">
        <f t="shared" ref="T30:U45" si="25">T29</f>
        <v>21.421294804000734</v>
      </c>
      <c r="U30" s="112">
        <f t="shared" si="25"/>
        <v>18.648267795942825</v>
      </c>
      <c r="V30" s="112"/>
      <c r="W30" s="107">
        <f t="shared" si="0"/>
        <v>147.88300035458417</v>
      </c>
      <c r="X30" s="107">
        <f t="shared" ref="X30:X53" si="26">K30*M30+SUM(Q30:V30)</f>
        <v>191.59357342911844</v>
      </c>
      <c r="Y30" s="112"/>
      <c r="Z30" s="107"/>
      <c r="AA30" s="112"/>
      <c r="AB30" s="107"/>
      <c r="AC30" s="112"/>
      <c r="AD30" s="112"/>
      <c r="AE30" s="112"/>
      <c r="AF30" s="107">
        <v>4.2</v>
      </c>
      <c r="AG30" s="112"/>
      <c r="AH30" s="112"/>
      <c r="AI30" s="112"/>
      <c r="AJ30" s="112"/>
      <c r="AK30" s="112"/>
      <c r="AL30" s="107">
        <f>AL29*(1+$B$3)</f>
        <v>122.89582631815952</v>
      </c>
      <c r="AM30" s="112"/>
      <c r="AN30" s="112"/>
      <c r="AO30" s="107">
        <f t="shared" si="6"/>
        <v>127.09582631815952</v>
      </c>
      <c r="AP30" s="110">
        <f t="shared" si="1"/>
        <v>20.787174036424645</v>
      </c>
      <c r="AQ30" s="110">
        <f t="shared" si="7"/>
        <v>1652.4194746081794</v>
      </c>
      <c r="AR30" s="107">
        <f t="shared" si="16"/>
        <v>1973.0782242601924</v>
      </c>
      <c r="AS30" s="107"/>
      <c r="AT30" s="9"/>
      <c r="AU30" s="9"/>
      <c r="AV30" s="9"/>
      <c r="AW30" s="9"/>
      <c r="AX30" s="9"/>
    </row>
    <row r="31" spans="1:50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J31" s="107">
        <f t="shared" si="18"/>
        <v>1652.4194746081794</v>
      </c>
      <c r="K31" s="107">
        <f t="shared" si="12"/>
        <v>1973.0782242601924</v>
      </c>
      <c r="L31" s="107">
        <v>0.02</v>
      </c>
      <c r="M31" s="107">
        <v>0.04</v>
      </c>
      <c r="N31" s="112"/>
      <c r="O31" s="112"/>
      <c r="P31" s="107">
        <f t="shared" si="23"/>
        <v>33.048389492163587</v>
      </c>
      <c r="Q31" s="107">
        <f t="shared" ref="Q31:S46" si="27">Q30*(1+$B$3)</f>
        <v>8.7051210308696394</v>
      </c>
      <c r="R31" s="112">
        <f t="shared" si="27"/>
        <v>37.064896712640007</v>
      </c>
      <c r="S31" s="112">
        <f t="shared" si="27"/>
        <v>30.914389834559994</v>
      </c>
      <c r="T31" s="107">
        <f t="shared" si="25"/>
        <v>21.421294804000734</v>
      </c>
      <c r="U31" s="112">
        <f t="shared" si="25"/>
        <v>18.648267795942825</v>
      </c>
      <c r="V31" s="112"/>
      <c r="W31" s="107">
        <f t="shared" si="0"/>
        <v>149.80235967017677</v>
      </c>
      <c r="X31" s="107">
        <f t="shared" si="26"/>
        <v>195.67709914842089</v>
      </c>
      <c r="Y31" s="112"/>
      <c r="Z31" s="107"/>
      <c r="AA31" s="112"/>
      <c r="AB31" s="107"/>
      <c r="AC31" s="112"/>
      <c r="AD31" s="112"/>
      <c r="AE31" s="112"/>
      <c r="AF31" s="107">
        <v>4.2</v>
      </c>
      <c r="AG31" s="112"/>
      <c r="AH31" s="112"/>
      <c r="AI31" s="112"/>
      <c r="AJ31" s="112"/>
      <c r="AK31" s="112"/>
      <c r="AL31" s="107">
        <f t="shared" ref="AL31:AL53" si="28">AL30*(1+$B$3)</f>
        <v>125.35374284452271</v>
      </c>
      <c r="AM31" s="112"/>
      <c r="AN31" s="112"/>
      <c r="AO31" s="107">
        <f t="shared" si="6"/>
        <v>129.5537428445227</v>
      </c>
      <c r="AP31" s="110">
        <f t="shared" si="1"/>
        <v>20.248616825654068</v>
      </c>
      <c r="AQ31" s="110">
        <f t="shared" si="7"/>
        <v>1672.6680914338335</v>
      </c>
      <c r="AR31" s="107">
        <f t="shared" si="16"/>
        <v>2039.2015805640908</v>
      </c>
      <c r="AS31" s="107"/>
      <c r="AT31" s="9"/>
      <c r="AU31" s="9"/>
      <c r="AV31" s="9"/>
      <c r="AW31" s="9"/>
      <c r="AX31" s="9"/>
    </row>
    <row r="32" spans="1:50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J32" s="107">
        <f t="shared" si="18"/>
        <v>1672.6680914338335</v>
      </c>
      <c r="K32" s="107">
        <f t="shared" si="12"/>
        <v>2039.2015805640908</v>
      </c>
      <c r="L32" s="107">
        <v>0.02</v>
      </c>
      <c r="M32" s="107">
        <v>0.04</v>
      </c>
      <c r="N32" s="112"/>
      <c r="O32" s="112"/>
      <c r="P32" s="107">
        <f t="shared" si="23"/>
        <v>33.45336182867667</v>
      </c>
      <c r="Q32" s="107">
        <f t="shared" si="27"/>
        <v>8.8792234514870323</v>
      </c>
      <c r="R32" s="112">
        <f t="shared" si="27"/>
        <v>37.806194646892806</v>
      </c>
      <c r="S32" s="112">
        <f t="shared" si="27"/>
        <v>31.532677631251193</v>
      </c>
      <c r="T32" s="107">
        <f t="shared" si="25"/>
        <v>21.421294804000734</v>
      </c>
      <c r="U32" s="112">
        <f t="shared" si="25"/>
        <v>18.648267795942825</v>
      </c>
      <c r="V32" s="112"/>
      <c r="W32" s="107">
        <f t="shared" si="0"/>
        <v>151.74102015825125</v>
      </c>
      <c r="X32" s="107">
        <f t="shared" si="26"/>
        <v>199.85572155213822</v>
      </c>
      <c r="Y32" s="112"/>
      <c r="Z32" s="107"/>
      <c r="AA32" s="112"/>
      <c r="AB32" s="107"/>
      <c r="AC32" s="112"/>
      <c r="AD32" s="112"/>
      <c r="AE32" s="112"/>
      <c r="AF32" s="107">
        <v>4.2</v>
      </c>
      <c r="AG32" s="112"/>
      <c r="AH32" s="112"/>
      <c r="AI32" s="112"/>
      <c r="AJ32" s="112"/>
      <c r="AK32" s="112"/>
      <c r="AL32" s="107">
        <f t="shared" si="28"/>
        <v>127.86081770141317</v>
      </c>
      <c r="AM32" s="112"/>
      <c r="AN32" s="112"/>
      <c r="AO32" s="107">
        <f t="shared" si="6"/>
        <v>132.06081770141316</v>
      </c>
      <c r="AP32" s="110">
        <f t="shared" si="1"/>
        <v>19.680202456838089</v>
      </c>
      <c r="AQ32" s="110">
        <f t="shared" si="7"/>
        <v>1692.3482938906716</v>
      </c>
      <c r="AR32" s="107">
        <f t="shared" si="16"/>
        <v>2106.9964844148158</v>
      </c>
      <c r="AS32" s="107"/>
      <c r="AT32" s="9"/>
      <c r="AU32" s="9"/>
      <c r="AV32" s="9"/>
      <c r="AW32" s="9"/>
      <c r="AX32" s="9"/>
    </row>
    <row r="33" spans="4:50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J33" s="107">
        <f t="shared" si="18"/>
        <v>1692.3482938906716</v>
      </c>
      <c r="K33" s="107">
        <f t="shared" si="12"/>
        <v>2106.9964844148158</v>
      </c>
      <c r="L33" s="107">
        <v>0.02</v>
      </c>
      <c r="M33" s="107">
        <v>0.04</v>
      </c>
      <c r="N33" s="112"/>
      <c r="O33" s="112"/>
      <c r="P33" s="107">
        <f t="shared" si="23"/>
        <v>33.846965877813432</v>
      </c>
      <c r="Q33" s="107">
        <f t="shared" si="27"/>
        <v>9.0568079205167731</v>
      </c>
      <c r="R33" s="112">
        <f t="shared" si="27"/>
        <v>38.562318539830663</v>
      </c>
      <c r="S33" s="112">
        <f t="shared" si="27"/>
        <v>32.163331183876217</v>
      </c>
      <c r="T33" s="107">
        <f t="shared" si="25"/>
        <v>21.421294804000734</v>
      </c>
      <c r="U33" s="112">
        <f t="shared" si="25"/>
        <v>18.648267795942825</v>
      </c>
      <c r="V33" s="112"/>
      <c r="W33" s="107">
        <f t="shared" si="0"/>
        <v>153.69898612198062</v>
      </c>
      <c r="X33" s="107">
        <f t="shared" si="26"/>
        <v>204.13187962075983</v>
      </c>
      <c r="Y33" s="112"/>
      <c r="Z33" s="107"/>
      <c r="AA33" s="112"/>
      <c r="AB33" s="107"/>
      <c r="AC33" s="112"/>
      <c r="AD33" s="112"/>
      <c r="AE33" s="112"/>
      <c r="AF33" s="107">
        <v>4.2</v>
      </c>
      <c r="AG33" s="112"/>
      <c r="AH33" s="112"/>
      <c r="AI33" s="112"/>
      <c r="AJ33" s="112"/>
      <c r="AK33" s="112"/>
      <c r="AL33" s="107">
        <f t="shared" si="28"/>
        <v>130.41803405544144</v>
      </c>
      <c r="AM33" s="112"/>
      <c r="AN33" s="112"/>
      <c r="AO33" s="107">
        <f t="shared" si="6"/>
        <v>134.61803405544143</v>
      </c>
      <c r="AP33" s="110">
        <f t="shared" si="1"/>
        <v>19.080952066539197</v>
      </c>
      <c r="AQ33" s="110">
        <f t="shared" si="7"/>
        <v>1711.4292459572107</v>
      </c>
      <c r="AR33" s="107">
        <f t="shared" si="16"/>
        <v>2176.510329980134</v>
      </c>
      <c r="AS33" s="107"/>
      <c r="AT33" s="9"/>
      <c r="AU33" s="9"/>
      <c r="AV33" s="9"/>
      <c r="AW33" s="9"/>
      <c r="AX33" s="9"/>
    </row>
    <row r="34" spans="4:50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J34" s="107">
        <f t="shared" si="18"/>
        <v>1711.4292459572107</v>
      </c>
      <c r="K34" s="107">
        <f t="shared" si="12"/>
        <v>2176.510329980134</v>
      </c>
      <c r="L34" s="107">
        <v>0.02</v>
      </c>
      <c r="M34" s="107">
        <v>0.04</v>
      </c>
      <c r="N34" s="112"/>
      <c r="O34" s="112"/>
      <c r="P34" s="107">
        <f t="shared" si="23"/>
        <v>34.228584919144218</v>
      </c>
      <c r="Q34" s="107">
        <f t="shared" si="27"/>
        <v>9.237944078927109</v>
      </c>
      <c r="R34" s="112">
        <f t="shared" si="27"/>
        <v>39.333564910627274</v>
      </c>
      <c r="S34" s="112">
        <f t="shared" si="27"/>
        <v>32.806597807553743</v>
      </c>
      <c r="T34" s="107">
        <f t="shared" si="25"/>
        <v>21.421294804000734</v>
      </c>
      <c r="U34" s="112">
        <f t="shared" si="25"/>
        <v>18.648267795942825</v>
      </c>
      <c r="V34" s="112"/>
      <c r="W34" s="107">
        <f t="shared" si="0"/>
        <v>155.67625431619589</v>
      </c>
      <c r="X34" s="107">
        <f t="shared" si="26"/>
        <v>208.50808259625705</v>
      </c>
      <c r="Y34" s="112"/>
      <c r="Z34" s="107"/>
      <c r="AA34" s="112"/>
      <c r="AB34" s="107"/>
      <c r="AC34" s="112"/>
      <c r="AD34" s="112"/>
      <c r="AE34" s="112"/>
      <c r="AF34" s="107">
        <v>4.2</v>
      </c>
      <c r="AG34" s="112"/>
      <c r="AH34" s="112"/>
      <c r="AI34" s="112"/>
      <c r="AJ34" s="112"/>
      <c r="AK34" s="112"/>
      <c r="AL34" s="107">
        <f t="shared" si="28"/>
        <v>133.02639473655026</v>
      </c>
      <c r="AM34" s="112"/>
      <c r="AN34" s="112"/>
      <c r="AO34" s="107">
        <f t="shared" si="6"/>
        <v>137.22639473655025</v>
      </c>
      <c r="AP34" s="110">
        <f t="shared" si="1"/>
        <v>18.449859579645647</v>
      </c>
      <c r="AQ34" s="110">
        <f t="shared" si="7"/>
        <v>1729.8791055368563</v>
      </c>
      <c r="AR34" s="107">
        <f t="shared" si="16"/>
        <v>2247.7920178398404</v>
      </c>
      <c r="AS34" s="107"/>
      <c r="AT34" s="9"/>
      <c r="AU34" s="9"/>
      <c r="AV34" s="9"/>
      <c r="AW34" s="9"/>
      <c r="AX34" s="9"/>
    </row>
    <row r="35" spans="4:50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J35" s="107">
        <f t="shared" si="18"/>
        <v>1729.8791055368563</v>
      </c>
      <c r="K35" s="107">
        <f t="shared" si="12"/>
        <v>2247.7920178398404</v>
      </c>
      <c r="L35" s="107">
        <v>0.02</v>
      </c>
      <c r="M35" s="107">
        <v>0.04</v>
      </c>
      <c r="N35" s="112"/>
      <c r="O35" s="112"/>
      <c r="P35" s="107">
        <f t="shared" si="23"/>
        <v>34.597582110737129</v>
      </c>
      <c r="Q35" s="107">
        <f t="shared" si="27"/>
        <v>9.4227029605056511</v>
      </c>
      <c r="R35" s="112">
        <f t="shared" si="27"/>
        <v>40.12023620883982</v>
      </c>
      <c r="S35" s="112">
        <f t="shared" si="27"/>
        <v>33.462729763704822</v>
      </c>
      <c r="T35" s="107">
        <f t="shared" si="25"/>
        <v>21.421294804000734</v>
      </c>
      <c r="U35" s="112">
        <f t="shared" si="25"/>
        <v>18.648267795942825</v>
      </c>
      <c r="V35" s="112"/>
      <c r="W35" s="107">
        <f t="shared" si="0"/>
        <v>157.67281364373096</v>
      </c>
      <c r="X35" s="107">
        <f t="shared" si="26"/>
        <v>212.98691224658745</v>
      </c>
      <c r="Y35" s="112"/>
      <c r="Z35" s="107"/>
      <c r="AA35" s="112"/>
      <c r="AB35" s="107"/>
      <c r="AC35" s="112"/>
      <c r="AD35" s="112"/>
      <c r="AE35" s="112"/>
      <c r="AF35" s="107">
        <v>4.2</v>
      </c>
      <c r="AG35" s="112"/>
      <c r="AH35" s="112"/>
      <c r="AI35" s="112"/>
      <c r="AJ35" s="112"/>
      <c r="AK35" s="112"/>
      <c r="AL35" s="107">
        <f t="shared" si="28"/>
        <v>135.68692263128128</v>
      </c>
      <c r="AM35" s="112"/>
      <c r="AN35" s="112"/>
      <c r="AO35" s="107">
        <f t="shared" si="6"/>
        <v>139.88692263128127</v>
      </c>
      <c r="AP35" s="110">
        <f t="shared" si="1"/>
        <v>17.785891012449696</v>
      </c>
      <c r="AQ35" s="110">
        <f t="shared" si="7"/>
        <v>1747.6649965493059</v>
      </c>
      <c r="AR35" s="107">
        <f t="shared" si="16"/>
        <v>2320.8920074551465</v>
      </c>
      <c r="AS35" s="107"/>
      <c r="AT35" s="9"/>
      <c r="AU35" s="9"/>
      <c r="AV35" s="9"/>
      <c r="AW35" s="9"/>
      <c r="AX35" s="9"/>
    </row>
    <row r="36" spans="4:50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J36" s="107">
        <f t="shared" si="18"/>
        <v>1747.6649965493059</v>
      </c>
      <c r="K36" s="107">
        <f t="shared" si="12"/>
        <v>2320.8920074551465</v>
      </c>
      <c r="L36" s="107">
        <v>0.02</v>
      </c>
      <c r="M36" s="107">
        <v>0.04</v>
      </c>
      <c r="N36" s="112"/>
      <c r="O36" s="112"/>
      <c r="P36" s="107">
        <f t="shared" si="23"/>
        <v>34.95329993098612</v>
      </c>
      <c r="Q36" s="107">
        <f t="shared" si="27"/>
        <v>9.6111570197157636</v>
      </c>
      <c r="R36" s="112">
        <f t="shared" si="27"/>
        <v>40.922640933016616</v>
      </c>
      <c r="S36" s="112">
        <f t="shared" si="27"/>
        <v>34.131984358978919</v>
      </c>
      <c r="T36" s="107">
        <f t="shared" si="25"/>
        <v>21.421294804000734</v>
      </c>
      <c r="U36" s="112">
        <f t="shared" si="25"/>
        <v>18.648267795942825</v>
      </c>
      <c r="V36" s="112"/>
      <c r="W36" s="107">
        <f t="shared" si="0"/>
        <v>159.68864484264094</v>
      </c>
      <c r="X36" s="107">
        <f t="shared" si="26"/>
        <v>217.57102520986072</v>
      </c>
      <c r="Y36" s="112"/>
      <c r="Z36" s="107"/>
      <c r="AA36" s="112"/>
      <c r="AB36" s="107"/>
      <c r="AC36" s="112"/>
      <c r="AD36" s="112"/>
      <c r="AE36" s="112"/>
      <c r="AF36" s="107">
        <v>4.2</v>
      </c>
      <c r="AG36" s="112"/>
      <c r="AH36" s="112"/>
      <c r="AI36" s="112"/>
      <c r="AJ36" s="112"/>
      <c r="AK36" s="112"/>
      <c r="AL36" s="107">
        <f t="shared" si="28"/>
        <v>138.4006610839069</v>
      </c>
      <c r="AM36" s="112"/>
      <c r="AN36" s="112"/>
      <c r="AO36" s="107">
        <f t="shared" si="6"/>
        <v>142.60066108390689</v>
      </c>
      <c r="AP36" s="110">
        <f t="shared" si="1"/>
        <v>17.087983758734055</v>
      </c>
      <c r="AQ36" s="110">
        <f t="shared" si="7"/>
        <v>1764.7529803080399</v>
      </c>
      <c r="AR36" s="107">
        <f t="shared" si="16"/>
        <v>2395.8623715811004</v>
      </c>
      <c r="AS36" s="107"/>
      <c r="AT36" s="9"/>
      <c r="AU36" s="9"/>
      <c r="AV36" s="9"/>
      <c r="AW36" s="9"/>
      <c r="AX36" s="9"/>
    </row>
    <row r="37" spans="4:50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J37" s="107">
        <f t="shared" si="18"/>
        <v>1764.7529803080399</v>
      </c>
      <c r="K37" s="107">
        <f t="shared" si="12"/>
        <v>2395.8623715811004</v>
      </c>
      <c r="L37" s="107">
        <v>0.02</v>
      </c>
      <c r="M37" s="107">
        <v>0.04</v>
      </c>
      <c r="N37" s="112"/>
      <c r="O37" s="112"/>
      <c r="P37" s="107">
        <f t="shared" si="23"/>
        <v>35.295059606160798</v>
      </c>
      <c r="Q37" s="107">
        <f t="shared" si="27"/>
        <v>9.8033801601100787</v>
      </c>
      <c r="R37" s="112">
        <f t="shared" si="27"/>
        <v>41.741093751676949</v>
      </c>
      <c r="S37" s="112">
        <f t="shared" si="27"/>
        <v>34.814624046158499</v>
      </c>
      <c r="T37" s="107">
        <f t="shared" si="25"/>
        <v>21.421294804000734</v>
      </c>
      <c r="U37" s="112">
        <f t="shared" si="25"/>
        <v>18.648267795942825</v>
      </c>
      <c r="V37" s="112"/>
      <c r="W37" s="107">
        <f t="shared" si="0"/>
        <v>161.72372016404987</v>
      </c>
      <c r="X37" s="107">
        <f t="shared" si="26"/>
        <v>222.26315542113309</v>
      </c>
      <c r="Y37" s="112"/>
      <c r="Z37" s="107"/>
      <c r="AA37" s="112"/>
      <c r="AB37" s="107"/>
      <c r="AC37" s="112"/>
      <c r="AD37" s="112"/>
      <c r="AE37" s="112"/>
      <c r="AF37" s="107">
        <v>4.2</v>
      </c>
      <c r="AG37" s="112"/>
      <c r="AH37" s="112"/>
      <c r="AI37" s="112"/>
      <c r="AJ37" s="112"/>
      <c r="AK37" s="112"/>
      <c r="AL37" s="107">
        <f t="shared" si="28"/>
        <v>141.16867430558503</v>
      </c>
      <c r="AM37" s="112"/>
      <c r="AN37" s="112"/>
      <c r="AO37" s="107">
        <f t="shared" si="6"/>
        <v>145.36867430558502</v>
      </c>
      <c r="AP37" s="110">
        <f t="shared" si="1"/>
        <v>16.355045858464848</v>
      </c>
      <c r="AQ37" s="110">
        <f t="shared" si="7"/>
        <v>1781.1080261665047</v>
      </c>
      <c r="AR37" s="107">
        <f t="shared" si="16"/>
        <v>2472.7568526966484</v>
      </c>
      <c r="AS37" s="107"/>
      <c r="AT37" s="9"/>
      <c r="AU37" s="9"/>
      <c r="AV37" s="9"/>
      <c r="AW37" s="9"/>
      <c r="AX37" s="9"/>
    </row>
    <row r="38" spans="4:50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J38" s="107">
        <f t="shared" si="18"/>
        <v>1781.1080261665047</v>
      </c>
      <c r="K38" s="107">
        <f t="shared" si="12"/>
        <v>2472.7568526966484</v>
      </c>
      <c r="L38" s="107">
        <v>0.02</v>
      </c>
      <c r="M38" s="107">
        <v>0.04</v>
      </c>
      <c r="N38" s="112"/>
      <c r="O38" s="112"/>
      <c r="P38" s="107">
        <f t="shared" si="23"/>
        <v>35.622160523330095</v>
      </c>
      <c r="Q38" s="107">
        <f t="shared" si="27"/>
        <v>9.9994477633122809</v>
      </c>
      <c r="R38" s="112">
        <f t="shared" si="27"/>
        <v>42.57591562671049</v>
      </c>
      <c r="S38" s="112">
        <f t="shared" si="27"/>
        <v>35.510916527081669</v>
      </c>
      <c r="T38" s="107">
        <f t="shared" si="25"/>
        <v>21.421294804000734</v>
      </c>
      <c r="U38" s="112">
        <f t="shared" si="25"/>
        <v>18.648267795942825</v>
      </c>
      <c r="V38" s="112"/>
      <c r="W38" s="107">
        <f t="shared" si="0"/>
        <v>163.77800304037808</v>
      </c>
      <c r="X38" s="107">
        <f t="shared" si="26"/>
        <v>227.06611662491395</v>
      </c>
      <c r="Y38" s="112"/>
      <c r="Z38" s="107"/>
      <c r="AA38" s="112"/>
      <c r="AB38" s="107"/>
      <c r="AC38" s="112"/>
      <c r="AD38" s="112"/>
      <c r="AE38" s="112"/>
      <c r="AF38" s="107">
        <v>4.2</v>
      </c>
      <c r="AG38" s="112"/>
      <c r="AH38" s="112"/>
      <c r="AI38" s="112"/>
      <c r="AJ38" s="112"/>
      <c r="AK38" s="112"/>
      <c r="AL38" s="107">
        <f t="shared" si="28"/>
        <v>143.99204779169673</v>
      </c>
      <c r="AM38" s="112"/>
      <c r="AN38" s="112"/>
      <c r="AO38" s="107">
        <f t="shared" si="6"/>
        <v>148.19204779169672</v>
      </c>
      <c r="AP38" s="110">
        <f t="shared" si="1"/>
        <v>15.585955248681358</v>
      </c>
      <c r="AQ38" s="110">
        <f t="shared" si="7"/>
        <v>1796.693981415186</v>
      </c>
      <c r="AR38" s="107">
        <f t="shared" si="16"/>
        <v>2551.6309215298652</v>
      </c>
      <c r="AS38" s="107"/>
      <c r="AT38" s="9"/>
      <c r="AU38" s="9"/>
      <c r="AV38" s="9"/>
      <c r="AW38" s="9"/>
      <c r="AX38" s="9"/>
    </row>
    <row r="39" spans="4:50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J39" s="107">
        <f t="shared" si="18"/>
        <v>1796.693981415186</v>
      </c>
      <c r="K39" s="107">
        <f t="shared" si="12"/>
        <v>2551.6309215298652</v>
      </c>
      <c r="L39" s="107">
        <v>0.02</v>
      </c>
      <c r="M39" s="107">
        <v>0.04</v>
      </c>
      <c r="N39" s="112"/>
      <c r="O39" s="112"/>
      <c r="P39" s="107">
        <f t="shared" si="23"/>
        <v>35.933879628303721</v>
      </c>
      <c r="Q39" s="107">
        <f t="shared" si="27"/>
        <v>10.199436718578527</v>
      </c>
      <c r="R39" s="112">
        <f t="shared" si="27"/>
        <v>43.4274339392447</v>
      </c>
      <c r="S39" s="112">
        <f t="shared" si="27"/>
        <v>36.221134857623305</v>
      </c>
      <c r="T39" s="107">
        <f t="shared" si="25"/>
        <v>21.421294804000734</v>
      </c>
      <c r="U39" s="112">
        <f t="shared" si="25"/>
        <v>18.648267795942825</v>
      </c>
      <c r="V39" s="112"/>
      <c r="W39" s="107">
        <f t="shared" si="0"/>
        <v>165.8514477436938</v>
      </c>
      <c r="X39" s="107">
        <f t="shared" si="26"/>
        <v>231.9828049765847</v>
      </c>
      <c r="Y39" s="112"/>
      <c r="Z39" s="107"/>
      <c r="AA39" s="112"/>
      <c r="AB39" s="107"/>
      <c r="AC39" s="112"/>
      <c r="AD39" s="112"/>
      <c r="AE39" s="112"/>
      <c r="AF39" s="112"/>
      <c r="AG39" s="112"/>
      <c r="AH39" s="112"/>
      <c r="AI39" s="112"/>
      <c r="AJ39" s="112"/>
      <c r="AK39" s="112"/>
      <c r="AL39" s="107">
        <f t="shared" si="28"/>
        <v>146.87188874753068</v>
      </c>
      <c r="AM39" s="112"/>
      <c r="AN39" s="112"/>
      <c r="AO39" s="107">
        <f t="shared" si="6"/>
        <v>146.87188874753068</v>
      </c>
      <c r="AP39" s="110">
        <f t="shared" si="1"/>
        <v>18.979558996163121</v>
      </c>
      <c r="AQ39" s="110">
        <f t="shared" si="7"/>
        <v>1815.6735404113492</v>
      </c>
      <c r="AR39" s="107">
        <f t="shared" si="16"/>
        <v>2636.7418377589192</v>
      </c>
      <c r="AS39" s="107"/>
      <c r="AT39" s="9"/>
      <c r="AU39" s="9"/>
      <c r="AV39" s="9"/>
      <c r="AW39" s="9"/>
      <c r="AX39" s="9"/>
    </row>
    <row r="40" spans="4:50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J40" s="107">
        <f t="shared" si="18"/>
        <v>1815.6735404113492</v>
      </c>
      <c r="K40" s="107">
        <f t="shared" si="12"/>
        <v>2636.7418377589192</v>
      </c>
      <c r="L40" s="107">
        <v>0.02</v>
      </c>
      <c r="M40" s="107">
        <v>0.04</v>
      </c>
      <c r="N40" s="112"/>
      <c r="O40" s="112"/>
      <c r="P40" s="107">
        <f t="shared" si="23"/>
        <v>36.313470808226988</v>
      </c>
      <c r="Q40" s="107">
        <f t="shared" si="27"/>
        <v>10.403425452950097</v>
      </c>
      <c r="R40" s="112">
        <f t="shared" si="27"/>
        <v>44.295982618029598</v>
      </c>
      <c r="S40" s="112">
        <f t="shared" si="27"/>
        <v>36.945557554775775</v>
      </c>
      <c r="T40" s="107">
        <f t="shared" si="25"/>
        <v>21.421294804000734</v>
      </c>
      <c r="U40" s="112">
        <f t="shared" si="25"/>
        <v>18.648267795942825</v>
      </c>
      <c r="V40" s="112"/>
      <c r="W40" s="107">
        <f t="shared" si="0"/>
        <v>168.02799903392599</v>
      </c>
      <c r="X40" s="107">
        <f t="shared" si="26"/>
        <v>237.1842017360558</v>
      </c>
      <c r="Y40" s="112"/>
      <c r="Z40" s="107"/>
      <c r="AA40" s="112"/>
      <c r="AB40" s="107"/>
      <c r="AC40" s="112"/>
      <c r="AD40" s="112"/>
      <c r="AE40" s="112"/>
      <c r="AF40" s="112"/>
      <c r="AG40" s="112"/>
      <c r="AH40" s="112"/>
      <c r="AI40" s="112"/>
      <c r="AJ40" s="112"/>
      <c r="AK40" s="112"/>
      <c r="AL40" s="107">
        <f t="shared" si="28"/>
        <v>149.80932652248129</v>
      </c>
      <c r="AM40" s="112"/>
      <c r="AN40" s="112"/>
      <c r="AO40" s="107">
        <f t="shared" si="6"/>
        <v>149.80932652248129</v>
      </c>
      <c r="AP40" s="110">
        <f t="shared" si="1"/>
        <v>18.218672511444709</v>
      </c>
      <c r="AQ40" s="110">
        <f t="shared" si="7"/>
        <v>1833.892212922794</v>
      </c>
      <c r="AR40" s="107">
        <f t="shared" si="16"/>
        <v>2724.116712972494</v>
      </c>
      <c r="AS40" s="107"/>
      <c r="AT40" s="9"/>
      <c r="AU40" s="9"/>
      <c r="AV40" s="9"/>
      <c r="AW40" s="9"/>
      <c r="AX40" s="9"/>
    </row>
    <row r="41" spans="4:50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J41" s="107">
        <f t="shared" si="18"/>
        <v>1833.892212922794</v>
      </c>
      <c r="K41" s="107">
        <f t="shared" si="12"/>
        <v>2724.116712972494</v>
      </c>
      <c r="L41" s="107">
        <v>0.02</v>
      </c>
      <c r="M41" s="107">
        <v>0.04</v>
      </c>
      <c r="N41" s="112"/>
      <c r="O41" s="112"/>
      <c r="P41" s="107">
        <f t="shared" si="23"/>
        <v>36.677844258455877</v>
      </c>
      <c r="Q41" s="107">
        <f t="shared" si="27"/>
        <v>10.611493962009099</v>
      </c>
      <c r="R41" s="112">
        <f t="shared" si="27"/>
        <v>45.181902270390189</v>
      </c>
      <c r="S41" s="112">
        <f t="shared" si="27"/>
        <v>37.684468705871289</v>
      </c>
      <c r="T41" s="107">
        <f t="shared" si="25"/>
        <v>21.421294804000734</v>
      </c>
      <c r="U41" s="112">
        <f t="shared" si="25"/>
        <v>18.648267795942825</v>
      </c>
      <c r="V41" s="112"/>
      <c r="W41" s="107">
        <f t="shared" si="0"/>
        <v>170.22527179667</v>
      </c>
      <c r="X41" s="107">
        <f t="shared" si="26"/>
        <v>242.51209605711392</v>
      </c>
      <c r="Y41" s="112"/>
      <c r="Z41" s="107"/>
      <c r="AA41" s="112"/>
      <c r="AB41" s="107"/>
      <c r="AC41" s="112"/>
      <c r="AD41" s="112"/>
      <c r="AE41" s="112"/>
      <c r="AF41" s="112"/>
      <c r="AG41" s="112"/>
      <c r="AH41" s="112"/>
      <c r="AI41" s="112"/>
      <c r="AJ41" s="112"/>
      <c r="AK41" s="112"/>
      <c r="AL41" s="107">
        <f t="shared" si="28"/>
        <v>152.80551305293091</v>
      </c>
      <c r="AM41" s="112"/>
      <c r="AN41" s="112"/>
      <c r="AO41" s="107">
        <f t="shared" si="6"/>
        <v>152.80551305293091</v>
      </c>
      <c r="AP41" s="110">
        <f t="shared" si="1"/>
        <v>17.419758743739095</v>
      </c>
      <c r="AQ41" s="110">
        <f t="shared" si="7"/>
        <v>1851.3119716665331</v>
      </c>
      <c r="AR41" s="107">
        <f t="shared" si="16"/>
        <v>2813.8232959766769</v>
      </c>
      <c r="AS41" s="107"/>
      <c r="AT41" s="9"/>
      <c r="AU41" s="9"/>
      <c r="AV41" s="9"/>
      <c r="AW41" s="9"/>
      <c r="AX41" s="9"/>
    </row>
    <row r="42" spans="4:50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J42" s="107">
        <f t="shared" si="18"/>
        <v>1851.3119716665331</v>
      </c>
      <c r="K42" s="107">
        <f t="shared" si="12"/>
        <v>2813.8232959766769</v>
      </c>
      <c r="L42" s="107">
        <v>0.02</v>
      </c>
      <c r="M42" s="107">
        <v>0.04</v>
      </c>
      <c r="N42" s="112"/>
      <c r="O42" s="112"/>
      <c r="P42" s="107">
        <f t="shared" si="23"/>
        <v>37.026239433330659</v>
      </c>
      <c r="Q42" s="107">
        <f t="shared" si="27"/>
        <v>10.823723841249281</v>
      </c>
      <c r="R42" s="112">
        <f t="shared" si="27"/>
        <v>46.085540315797992</v>
      </c>
      <c r="S42" s="112">
        <f t="shared" si="27"/>
        <v>38.438158079988717</v>
      </c>
      <c r="T42" s="107">
        <f t="shared" si="25"/>
        <v>21.421294804000734</v>
      </c>
      <c r="U42" s="112">
        <f t="shared" si="25"/>
        <v>18.648267795942825</v>
      </c>
      <c r="V42" s="112"/>
      <c r="W42" s="107">
        <f t="shared" si="0"/>
        <v>172.4432242703102</v>
      </c>
      <c r="X42" s="107">
        <f t="shared" si="26"/>
        <v>247.96991667604664</v>
      </c>
      <c r="Y42" s="112"/>
      <c r="Z42" s="107"/>
      <c r="AA42" s="112"/>
      <c r="AB42" s="107"/>
      <c r="AC42" s="112"/>
      <c r="AD42" s="112"/>
      <c r="AE42" s="112"/>
      <c r="AF42" s="112"/>
      <c r="AG42" s="112"/>
      <c r="AH42" s="112"/>
      <c r="AI42" s="112"/>
      <c r="AJ42" s="112"/>
      <c r="AK42" s="112"/>
      <c r="AL42" s="107">
        <f t="shared" si="28"/>
        <v>155.86162331398953</v>
      </c>
      <c r="AM42" s="112"/>
      <c r="AN42" s="112"/>
      <c r="AO42" s="107">
        <f t="shared" si="6"/>
        <v>155.86162331398953</v>
      </c>
      <c r="AP42" s="110">
        <f t="shared" si="1"/>
        <v>16.581600956320671</v>
      </c>
      <c r="AQ42" s="110">
        <f t="shared" si="7"/>
        <v>1867.8935726228538</v>
      </c>
      <c r="AR42" s="107">
        <f t="shared" si="16"/>
        <v>2905.9315893387338</v>
      </c>
      <c r="AS42" s="107"/>
      <c r="AT42" s="9"/>
      <c r="AU42" s="9"/>
      <c r="AV42" s="9"/>
      <c r="AW42" s="9"/>
      <c r="AX42" s="9"/>
    </row>
    <row r="43" spans="4:50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J43" s="107">
        <f t="shared" si="18"/>
        <v>1867.8935726228538</v>
      </c>
      <c r="K43" s="107">
        <f t="shared" si="12"/>
        <v>2905.9315893387338</v>
      </c>
      <c r="L43" s="107">
        <v>0.02</v>
      </c>
      <c r="M43" s="107">
        <v>0.04</v>
      </c>
      <c r="N43" s="112"/>
      <c r="O43" s="112"/>
      <c r="P43" s="107">
        <f t="shared" si="23"/>
        <v>37.357871452457076</v>
      </c>
      <c r="Q43" s="107">
        <f t="shared" si="27"/>
        <v>11.040198318074268</v>
      </c>
      <c r="R43" s="112">
        <f t="shared" si="27"/>
        <v>47.007251122113949</v>
      </c>
      <c r="S43" s="112">
        <f t="shared" si="27"/>
        <v>39.206921241588489</v>
      </c>
      <c r="T43" s="107">
        <f t="shared" si="25"/>
        <v>21.421294804000734</v>
      </c>
      <c r="U43" s="112">
        <f t="shared" si="25"/>
        <v>18.648267795942825</v>
      </c>
      <c r="V43" s="112"/>
      <c r="W43" s="107">
        <f t="shared" si="0"/>
        <v>174.68180473417732</v>
      </c>
      <c r="X43" s="107">
        <f t="shared" si="26"/>
        <v>253.5611968552696</v>
      </c>
      <c r="Y43" s="112"/>
      <c r="Z43" s="107"/>
      <c r="AA43" s="112"/>
      <c r="AB43" s="107"/>
      <c r="AC43" s="112"/>
      <c r="AD43" s="112"/>
      <c r="AE43" s="112"/>
      <c r="AF43" s="112"/>
      <c r="AG43" s="112"/>
      <c r="AH43" s="112"/>
      <c r="AI43" s="112"/>
      <c r="AJ43" s="112"/>
      <c r="AK43" s="112"/>
      <c r="AL43" s="107">
        <f t="shared" si="28"/>
        <v>158.97885578026933</v>
      </c>
      <c r="AM43" s="112"/>
      <c r="AN43" s="112"/>
      <c r="AO43" s="107">
        <f t="shared" si="6"/>
        <v>158.97885578026933</v>
      </c>
      <c r="AP43" s="110">
        <f t="shared" si="1"/>
        <v>15.702948953907992</v>
      </c>
      <c r="AQ43" s="110">
        <f t="shared" si="7"/>
        <v>1883.5965215767617</v>
      </c>
      <c r="AR43" s="107">
        <f t="shared" si="16"/>
        <v>3000.5139304137338</v>
      </c>
      <c r="AS43" s="107"/>
      <c r="AT43" s="9"/>
      <c r="AU43" s="9"/>
      <c r="AV43" s="9"/>
      <c r="AW43" s="9"/>
      <c r="AX43" s="9"/>
    </row>
    <row r="44" spans="4:50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J44" s="107">
        <f t="shared" si="18"/>
        <v>1883.5965215767617</v>
      </c>
      <c r="K44" s="107">
        <f t="shared" si="12"/>
        <v>3000.5139304137338</v>
      </c>
      <c r="L44" s="107">
        <v>0.02</v>
      </c>
      <c r="M44" s="107">
        <v>0.04</v>
      </c>
      <c r="N44" s="112"/>
      <c r="O44" s="112"/>
      <c r="P44" s="107">
        <f t="shared" si="23"/>
        <v>37.671930431535237</v>
      </c>
      <c r="Q44" s="107">
        <f t="shared" si="27"/>
        <v>11.261002284435753</v>
      </c>
      <c r="R44" s="112">
        <f t="shared" si="27"/>
        <v>47.94739614455623</v>
      </c>
      <c r="S44" s="112">
        <f t="shared" si="27"/>
        <v>39.991059666420263</v>
      </c>
      <c r="T44" s="107">
        <f t="shared" si="25"/>
        <v>21.421294804000734</v>
      </c>
      <c r="U44" s="112">
        <f t="shared" si="25"/>
        <v>18.648267795942825</v>
      </c>
      <c r="V44" s="112"/>
      <c r="W44" s="107">
        <f t="shared" si="0"/>
        <v>176.94095112689101</v>
      </c>
      <c r="X44" s="107">
        <f t="shared" si="26"/>
        <v>259.28957791190516</v>
      </c>
      <c r="Y44" s="112"/>
      <c r="Z44" s="107"/>
      <c r="AA44" s="112"/>
      <c r="AB44" s="107"/>
      <c r="AC44" s="112"/>
      <c r="AD44" s="112"/>
      <c r="AE44" s="112"/>
      <c r="AF44" s="112"/>
      <c r="AG44" s="112"/>
      <c r="AH44" s="112"/>
      <c r="AI44" s="112"/>
      <c r="AJ44" s="112"/>
      <c r="AK44" s="112"/>
      <c r="AL44" s="107">
        <f t="shared" si="28"/>
        <v>162.15843289587471</v>
      </c>
      <c r="AM44" s="112"/>
      <c r="AN44" s="112"/>
      <c r="AO44" s="107">
        <f t="shared" si="6"/>
        <v>162.15843289587471</v>
      </c>
      <c r="AP44" s="110">
        <f t="shared" si="1"/>
        <v>14.782518231016297</v>
      </c>
      <c r="AQ44" s="110">
        <f t="shared" si="7"/>
        <v>1898.3790398077781</v>
      </c>
      <c r="AR44" s="107">
        <f t="shared" si="16"/>
        <v>3097.6450754297643</v>
      </c>
      <c r="AS44" s="107"/>
      <c r="AT44" s="9"/>
      <c r="AU44" s="9"/>
      <c r="AV44" s="9"/>
      <c r="AW44" s="9"/>
      <c r="AX44" s="9"/>
    </row>
    <row r="45" spans="4:50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J45" s="107">
        <f t="shared" si="18"/>
        <v>1898.3790398077781</v>
      </c>
      <c r="K45" s="107">
        <f t="shared" si="12"/>
        <v>3097.6450754297643</v>
      </c>
      <c r="L45" s="107">
        <v>0.02</v>
      </c>
      <c r="M45" s="107">
        <v>0.04</v>
      </c>
      <c r="N45" s="112"/>
      <c r="O45" s="112"/>
      <c r="P45" s="107">
        <f t="shared" si="23"/>
        <v>37.967580796155566</v>
      </c>
      <c r="Q45" s="107">
        <f t="shared" si="27"/>
        <v>11.486222330124468</v>
      </c>
      <c r="R45" s="112">
        <f t="shared" si="27"/>
        <v>48.906344067447357</v>
      </c>
      <c r="S45" s="112">
        <f t="shared" si="27"/>
        <v>40.790880859748668</v>
      </c>
      <c r="T45" s="107">
        <f t="shared" si="25"/>
        <v>21.421294804000734</v>
      </c>
      <c r="U45" s="112">
        <f t="shared" si="25"/>
        <v>18.648267795942825</v>
      </c>
      <c r="V45" s="112"/>
      <c r="W45" s="107">
        <f t="shared" si="0"/>
        <v>179.22059065341961</v>
      </c>
      <c r="X45" s="107">
        <f t="shared" si="26"/>
        <v>265.15881287445461</v>
      </c>
      <c r="Y45" s="112"/>
      <c r="Z45" s="107"/>
      <c r="AA45" s="112"/>
      <c r="AB45" s="107"/>
      <c r="AC45" s="112"/>
      <c r="AD45" s="112"/>
      <c r="AE45" s="112"/>
      <c r="AF45" s="112"/>
      <c r="AG45" s="112"/>
      <c r="AH45" s="112"/>
      <c r="AI45" s="112"/>
      <c r="AJ45" s="112"/>
      <c r="AK45" s="112"/>
      <c r="AL45" s="107">
        <f t="shared" si="28"/>
        <v>165.4016015537922</v>
      </c>
      <c r="AM45" s="112"/>
      <c r="AN45" s="112"/>
      <c r="AO45" s="107">
        <f t="shared" si="6"/>
        <v>165.4016015537922</v>
      </c>
      <c r="AP45" s="110">
        <f t="shared" si="1"/>
        <v>13.818989099627402</v>
      </c>
      <c r="AQ45" s="110">
        <f t="shared" si="7"/>
        <v>1912.1980289074054</v>
      </c>
      <c r="AR45" s="107">
        <f t="shared" si="16"/>
        <v>3197.4022867504268</v>
      </c>
      <c r="AS45" s="107"/>
      <c r="AT45" s="9"/>
      <c r="AU45" s="9"/>
      <c r="AV45" s="9"/>
      <c r="AW45" s="9"/>
      <c r="AX45" s="9"/>
    </row>
    <row r="46" spans="4:50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J46" s="107">
        <f t="shared" si="18"/>
        <v>1912.1980289074054</v>
      </c>
      <c r="K46" s="107">
        <f t="shared" si="12"/>
        <v>3197.4022867504268</v>
      </c>
      <c r="L46" s="107">
        <v>0.02</v>
      </c>
      <c r="M46" s="107">
        <v>0.04</v>
      </c>
      <c r="N46" s="112"/>
      <c r="O46" s="112"/>
      <c r="P46" s="107">
        <f t="shared" si="23"/>
        <v>38.243960578148112</v>
      </c>
      <c r="Q46" s="107">
        <f t="shared" si="27"/>
        <v>11.715946776726957</v>
      </c>
      <c r="R46" s="112">
        <f t="shared" si="27"/>
        <v>49.884470948796306</v>
      </c>
      <c r="S46" s="112">
        <f t="shared" si="27"/>
        <v>41.606698476943642</v>
      </c>
      <c r="T46" s="107">
        <f t="shared" ref="T46:U47" si="29">T45</f>
        <v>21.421294804000734</v>
      </c>
      <c r="U46" s="112">
        <f t="shared" si="29"/>
        <v>18.648267795942825</v>
      </c>
      <c r="V46" s="112"/>
      <c r="W46" s="107">
        <f t="shared" si="0"/>
        <v>181.52063938055855</v>
      </c>
      <c r="X46" s="107">
        <f t="shared" si="26"/>
        <v>271.17277027242756</v>
      </c>
      <c r="Y46" s="112"/>
      <c r="Z46" s="107"/>
      <c r="AA46" s="112"/>
      <c r="AB46" s="107"/>
      <c r="AC46" s="112"/>
      <c r="AD46" s="112"/>
      <c r="AE46" s="112"/>
      <c r="AF46" s="112"/>
      <c r="AG46" s="112"/>
      <c r="AH46" s="112"/>
      <c r="AI46" s="112"/>
      <c r="AJ46" s="112"/>
      <c r="AK46" s="112"/>
      <c r="AL46" s="107">
        <f t="shared" si="28"/>
        <v>168.70963358486804</v>
      </c>
      <c r="AM46" s="112"/>
      <c r="AN46" s="112"/>
      <c r="AO46" s="107">
        <f t="shared" si="6"/>
        <v>168.70963358486804</v>
      </c>
      <c r="AP46" s="110">
        <f t="shared" si="1"/>
        <v>12.811005795690505</v>
      </c>
      <c r="AQ46" s="110">
        <f t="shared" si="7"/>
        <v>1925.0090347030959</v>
      </c>
      <c r="AR46" s="107">
        <f t="shared" si="16"/>
        <v>3299.865423437986</v>
      </c>
      <c r="AS46" s="107"/>
      <c r="AT46" s="9"/>
      <c r="AU46" s="9"/>
      <c r="AV46" s="9"/>
      <c r="AW46" s="9"/>
      <c r="AX46" s="9"/>
    </row>
    <row r="47" spans="4:50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J47" s="107">
        <f t="shared" si="18"/>
        <v>1925.0090347030959</v>
      </c>
      <c r="K47" s="107">
        <f t="shared" si="12"/>
        <v>3299.865423437986</v>
      </c>
      <c r="L47" s="107">
        <v>0.02</v>
      </c>
      <c r="M47" s="107">
        <v>0.04</v>
      </c>
      <c r="N47" s="112"/>
      <c r="O47" s="112"/>
      <c r="P47" s="107">
        <f t="shared" si="23"/>
        <v>38.500180694061918</v>
      </c>
      <c r="Q47" s="107">
        <f t="shared" ref="Q47:S53" si="30">Q46*(1+$B$3)</f>
        <v>11.950265712261496</v>
      </c>
      <c r="R47" s="112">
        <f t="shared" si="30"/>
        <v>50.882160367772229</v>
      </c>
      <c r="S47" s="112">
        <f t="shared" si="30"/>
        <v>42.438832446482515</v>
      </c>
      <c r="T47" s="107">
        <f t="shared" si="29"/>
        <v>21.421294804000734</v>
      </c>
      <c r="U47" s="112">
        <f t="shared" si="29"/>
        <v>18.648267795942825</v>
      </c>
      <c r="V47" s="112"/>
      <c r="W47" s="107">
        <f t="shared" si="0"/>
        <v>183.84100182052168</v>
      </c>
      <c r="X47" s="107">
        <f t="shared" si="26"/>
        <v>277.33543806397927</v>
      </c>
      <c r="Y47" s="112"/>
      <c r="Z47" s="107"/>
      <c r="AA47" s="112"/>
      <c r="AB47" s="107"/>
      <c r="AC47" s="112"/>
      <c r="AD47" s="112"/>
      <c r="AE47" s="112"/>
      <c r="AF47" s="112"/>
      <c r="AG47" s="112"/>
      <c r="AH47" s="112"/>
      <c r="AI47" s="112"/>
      <c r="AJ47" s="112"/>
      <c r="AK47" s="112"/>
      <c r="AL47" s="107">
        <f t="shared" si="28"/>
        <v>172.0838262565654</v>
      </c>
      <c r="AM47" s="112"/>
      <c r="AN47" s="112"/>
      <c r="AO47" s="107">
        <f t="shared" si="6"/>
        <v>172.0838262565654</v>
      </c>
      <c r="AP47" s="110">
        <f t="shared" si="1"/>
        <v>11.757175563956281</v>
      </c>
      <c r="AQ47" s="110">
        <f t="shared" si="7"/>
        <v>1936.7662102670522</v>
      </c>
      <c r="AR47" s="107">
        <f t="shared" si="16"/>
        <v>3405.1170352454001</v>
      </c>
      <c r="AS47" s="107"/>
      <c r="AT47" s="9"/>
      <c r="AU47" s="9"/>
      <c r="AV47" s="9"/>
      <c r="AW47" s="9"/>
      <c r="AX47" s="9"/>
    </row>
    <row r="48" spans="4:50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J48" s="107">
        <f t="shared" si="18"/>
        <v>1936.7662102670522</v>
      </c>
      <c r="K48" s="107">
        <f t="shared" si="12"/>
        <v>3405.1170352454001</v>
      </c>
      <c r="L48" s="107">
        <v>0.02</v>
      </c>
      <c r="M48" s="107">
        <v>0.04</v>
      </c>
      <c r="N48" s="112"/>
      <c r="O48" s="112"/>
      <c r="P48" s="107">
        <f t="shared" si="23"/>
        <v>38.735324205341044</v>
      </c>
      <c r="Q48" s="107">
        <f t="shared" si="30"/>
        <v>12.189271026506725</v>
      </c>
      <c r="R48" s="112">
        <f t="shared" si="30"/>
        <v>51.899803575127677</v>
      </c>
      <c r="S48" s="112">
        <f t="shared" si="30"/>
        <v>43.287609095412165</v>
      </c>
      <c r="T48" s="107"/>
      <c r="U48" s="112"/>
      <c r="V48" s="112"/>
      <c r="W48" s="107">
        <f t="shared" si="0"/>
        <v>146.1120079023876</v>
      </c>
      <c r="X48" s="107">
        <f t="shared" si="26"/>
        <v>243.58136510686256</v>
      </c>
      <c r="Y48" s="112"/>
      <c r="Z48" s="107"/>
      <c r="AA48" s="112"/>
      <c r="AB48" s="107"/>
      <c r="AC48" s="112"/>
      <c r="AD48" s="112"/>
      <c r="AE48" s="112"/>
      <c r="AF48" s="112"/>
      <c r="AG48" s="112"/>
      <c r="AH48" s="112"/>
      <c r="AI48" s="112"/>
      <c r="AJ48" s="112"/>
      <c r="AK48" s="112"/>
      <c r="AL48" s="107">
        <f t="shared" si="28"/>
        <v>175.5255027816967</v>
      </c>
      <c r="AM48" s="112"/>
      <c r="AN48" s="112"/>
      <c r="AO48" s="107">
        <f t="shared" si="6"/>
        <v>175.5255027816967</v>
      </c>
      <c r="AP48" s="110">
        <f t="shared" si="1"/>
        <v>-29.413494879309098</v>
      </c>
      <c r="AQ48" s="110">
        <f t="shared" si="7"/>
        <v>1907.352715387743</v>
      </c>
      <c r="AR48" s="107">
        <f t="shared" si="16"/>
        <v>3473.172897570566</v>
      </c>
      <c r="AS48" s="107"/>
      <c r="AT48" s="9"/>
      <c r="AU48" s="9"/>
      <c r="AV48" s="9"/>
      <c r="AW48" s="9"/>
      <c r="AX48" s="9"/>
    </row>
    <row r="49" spans="4:50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J49" s="107">
        <f t="shared" si="18"/>
        <v>1907.352715387743</v>
      </c>
      <c r="K49" s="107">
        <f t="shared" si="12"/>
        <v>3473.172897570566</v>
      </c>
      <c r="L49" s="107">
        <v>0.02</v>
      </c>
      <c r="M49" s="107">
        <v>0.04</v>
      </c>
      <c r="N49" s="112"/>
      <c r="O49" s="112"/>
      <c r="P49" s="107">
        <f t="shared" si="23"/>
        <v>38.147054307754864</v>
      </c>
      <c r="Q49" s="107">
        <f t="shared" si="30"/>
        <v>12.43305644703686</v>
      </c>
      <c r="R49" s="112">
        <f t="shared" si="30"/>
        <v>52.937799646630232</v>
      </c>
      <c r="S49" s="112">
        <f t="shared" si="30"/>
        <v>44.153361277320407</v>
      </c>
      <c r="T49" s="107"/>
      <c r="U49" s="112"/>
      <c r="V49" s="112"/>
      <c r="W49" s="107">
        <f t="shared" si="0"/>
        <v>147.67127167874236</v>
      </c>
      <c r="X49" s="107">
        <f t="shared" si="26"/>
        <v>248.45113327381011</v>
      </c>
      <c r="Y49" s="112"/>
      <c r="Z49" s="107"/>
      <c r="AA49" s="112"/>
      <c r="AB49" s="107"/>
      <c r="AC49" s="112"/>
      <c r="AD49" s="112"/>
      <c r="AE49" s="112"/>
      <c r="AF49" s="112"/>
      <c r="AG49" s="112"/>
      <c r="AH49" s="112"/>
      <c r="AI49" s="112"/>
      <c r="AJ49" s="112"/>
      <c r="AK49" s="112"/>
      <c r="AL49" s="107">
        <f t="shared" si="28"/>
        <v>179.03601283733065</v>
      </c>
      <c r="AM49" s="112"/>
      <c r="AN49" s="112"/>
      <c r="AO49" s="107">
        <f t="shared" si="6"/>
        <v>179.03601283733065</v>
      </c>
      <c r="AP49" s="110">
        <f t="shared" si="1"/>
        <v>-31.364741158588288</v>
      </c>
      <c r="AQ49" s="110">
        <f t="shared" si="7"/>
        <v>1875.9879742291548</v>
      </c>
      <c r="AR49" s="107">
        <f t="shared" si="16"/>
        <v>3542.5880180070453</v>
      </c>
      <c r="AS49" s="107"/>
      <c r="AT49" s="9"/>
      <c r="AU49" s="9"/>
      <c r="AV49" s="9"/>
      <c r="AW49" s="9"/>
      <c r="AX49" s="9"/>
    </row>
    <row r="50" spans="4:50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J50" s="107">
        <f t="shared" si="18"/>
        <v>1875.9879742291548</v>
      </c>
      <c r="K50" s="107">
        <f t="shared" si="12"/>
        <v>3542.5880180070453</v>
      </c>
      <c r="L50" s="107">
        <v>0.02</v>
      </c>
      <c r="M50" s="107">
        <v>0.04</v>
      </c>
      <c r="N50" s="112"/>
      <c r="O50" s="112"/>
      <c r="P50" s="107">
        <f t="shared" si="23"/>
        <v>37.519759484583098</v>
      </c>
      <c r="Q50" s="107">
        <f t="shared" si="30"/>
        <v>12.681717575977597</v>
      </c>
      <c r="R50" s="112">
        <f t="shared" si="30"/>
        <v>53.996555639562835</v>
      </c>
      <c r="S50" s="112">
        <f t="shared" si="30"/>
        <v>45.036428502866819</v>
      </c>
      <c r="T50" s="107"/>
      <c r="U50" s="112"/>
      <c r="V50" s="112"/>
      <c r="W50" s="107">
        <f t="shared" si="0"/>
        <v>149.23446120299033</v>
      </c>
      <c r="X50" s="107">
        <f t="shared" si="26"/>
        <v>253.41822243868907</v>
      </c>
      <c r="Y50" s="112"/>
      <c r="Z50" s="107"/>
      <c r="AA50" s="112"/>
      <c r="AB50" s="107"/>
      <c r="AC50" s="112"/>
      <c r="AD50" s="112"/>
      <c r="AE50" s="112"/>
      <c r="AF50" s="112"/>
      <c r="AG50" s="112"/>
      <c r="AH50" s="112"/>
      <c r="AI50" s="112"/>
      <c r="AJ50" s="112"/>
      <c r="AK50" s="112"/>
      <c r="AL50" s="107">
        <f t="shared" si="28"/>
        <v>182.61673309407726</v>
      </c>
      <c r="AM50" s="112"/>
      <c r="AN50" s="112"/>
      <c r="AO50" s="107">
        <f t="shared" si="6"/>
        <v>182.61673309407726</v>
      </c>
      <c r="AP50" s="110">
        <f t="shared" si="1"/>
        <v>-33.38227189108693</v>
      </c>
      <c r="AQ50" s="110">
        <f t="shared" si="7"/>
        <v>1842.6057023380679</v>
      </c>
      <c r="AR50" s="107">
        <f t="shared" si="16"/>
        <v>3613.3895073516574</v>
      </c>
      <c r="AS50" s="107"/>
      <c r="AT50" s="9"/>
      <c r="AU50" s="9"/>
      <c r="AV50" s="9"/>
      <c r="AW50" s="9"/>
      <c r="AX50" s="9"/>
    </row>
    <row r="51" spans="4:50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J51" s="107">
        <f t="shared" si="18"/>
        <v>1842.6057023380679</v>
      </c>
      <c r="K51" s="107">
        <f t="shared" si="12"/>
        <v>3613.3895073516574</v>
      </c>
      <c r="L51" s="107">
        <v>0.02</v>
      </c>
      <c r="M51" s="107">
        <v>0.04</v>
      </c>
      <c r="N51" s="112"/>
      <c r="O51" s="112"/>
      <c r="P51" s="107">
        <f t="shared" si="23"/>
        <v>36.852114046761358</v>
      </c>
      <c r="Q51" s="107">
        <f t="shared" si="30"/>
        <v>12.93535192749715</v>
      </c>
      <c r="R51" s="112">
        <f t="shared" si="30"/>
        <v>55.076486752354093</v>
      </c>
      <c r="S51" s="112">
        <f t="shared" si="30"/>
        <v>45.937157072924158</v>
      </c>
      <c r="T51" s="107"/>
      <c r="U51" s="112"/>
      <c r="V51" s="112"/>
      <c r="W51" s="107">
        <f t="shared" si="0"/>
        <v>150.80110979953676</v>
      </c>
      <c r="X51" s="107">
        <f t="shared" si="26"/>
        <v>258.48457604684171</v>
      </c>
      <c r="Y51" s="112"/>
      <c r="Z51" s="107"/>
      <c r="AA51" s="112"/>
      <c r="AB51" s="107"/>
      <c r="AC51" s="112"/>
      <c r="AD51" s="112"/>
      <c r="AE51" s="112"/>
      <c r="AF51" s="112"/>
      <c r="AG51" s="112"/>
      <c r="AH51" s="112"/>
      <c r="AI51" s="112"/>
      <c r="AJ51" s="112"/>
      <c r="AK51" s="112"/>
      <c r="AL51" s="107">
        <f t="shared" si="28"/>
        <v>186.26906775595882</v>
      </c>
      <c r="AM51" s="112"/>
      <c r="AN51" s="112"/>
      <c r="AO51" s="107">
        <f t="shared" si="6"/>
        <v>186.26906775595882</v>
      </c>
      <c r="AP51" s="110">
        <f t="shared" si="1"/>
        <v>-35.467957956422055</v>
      </c>
      <c r="AQ51" s="110">
        <f t="shared" si="7"/>
        <v>1807.1377443816459</v>
      </c>
      <c r="AR51" s="107">
        <f t="shared" si="16"/>
        <v>3685.6050156425399</v>
      </c>
      <c r="AS51" s="107"/>
      <c r="AT51" s="9"/>
      <c r="AU51" s="9"/>
      <c r="AV51" s="9"/>
      <c r="AW51" s="9"/>
      <c r="AX51" s="9"/>
    </row>
    <row r="52" spans="4:50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J52" s="107">
        <f t="shared" si="18"/>
        <v>1807.1377443816459</v>
      </c>
      <c r="K52" s="107">
        <f t="shared" si="12"/>
        <v>3685.6050156425399</v>
      </c>
      <c r="L52" s="107">
        <v>0.02</v>
      </c>
      <c r="M52" s="107">
        <v>0.04</v>
      </c>
      <c r="N52" s="112"/>
      <c r="O52" s="112"/>
      <c r="P52" s="107">
        <f t="shared" si="23"/>
        <v>36.142754887632918</v>
      </c>
      <c r="Q52" s="107">
        <f t="shared" si="30"/>
        <v>13.194058966047093</v>
      </c>
      <c r="R52" s="112">
        <f t="shared" si="30"/>
        <v>56.178016487401173</v>
      </c>
      <c r="S52" s="112">
        <f t="shared" si="30"/>
        <v>46.855900214382643</v>
      </c>
      <c r="T52" s="107"/>
      <c r="U52" s="112"/>
      <c r="V52" s="112"/>
      <c r="W52" s="107">
        <f t="shared" si="0"/>
        <v>152.37073055546384</v>
      </c>
      <c r="X52" s="107">
        <f t="shared" si="26"/>
        <v>263.65217629353248</v>
      </c>
      <c r="Y52" s="112"/>
      <c r="Z52" s="107"/>
      <c r="AA52" s="112"/>
      <c r="AB52" s="107"/>
      <c r="AC52" s="112"/>
      <c r="AD52" s="112"/>
      <c r="AE52" s="112"/>
      <c r="AF52" s="112"/>
      <c r="AG52" s="112"/>
      <c r="AH52" s="112"/>
      <c r="AI52" s="112"/>
      <c r="AJ52" s="112"/>
      <c r="AK52" s="112"/>
      <c r="AL52" s="107">
        <f t="shared" si="28"/>
        <v>189.99444911107798</v>
      </c>
      <c r="AM52" s="112"/>
      <c r="AN52" s="112"/>
      <c r="AO52" s="107">
        <f t="shared" si="6"/>
        <v>189.99444911107798</v>
      </c>
      <c r="AP52" s="110">
        <f t="shared" si="1"/>
        <v>-37.623718555614147</v>
      </c>
      <c r="AQ52" s="110">
        <f t="shared" si="7"/>
        <v>1769.5140258260317</v>
      </c>
      <c r="AR52" s="107">
        <f t="shared" si="16"/>
        <v>3759.2627428249943</v>
      </c>
      <c r="AS52" s="107"/>
      <c r="AT52" s="9"/>
      <c r="AU52" s="9"/>
      <c r="AV52" s="9"/>
      <c r="AW52" s="9"/>
      <c r="AX52" s="9"/>
    </row>
    <row r="53" spans="4:50" x14ac:dyDescent="0.3">
      <c r="D53" s="94">
        <v>50</v>
      </c>
      <c r="E53" s="94">
        <v>90</v>
      </c>
      <c r="F53" s="94">
        <v>90</v>
      </c>
      <c r="G53" s="94">
        <v>63</v>
      </c>
      <c r="H53" s="94">
        <v>61</v>
      </c>
      <c r="J53" s="107">
        <f t="shared" si="18"/>
        <v>1769.5140258260317</v>
      </c>
      <c r="K53" s="107">
        <f t="shared" si="12"/>
        <v>3759.2627428249943</v>
      </c>
      <c r="L53" s="107">
        <v>0.02</v>
      </c>
      <c r="M53" s="107">
        <v>0.04</v>
      </c>
      <c r="N53" s="112"/>
      <c r="O53" s="112"/>
      <c r="P53" s="107">
        <f t="shared" si="23"/>
        <v>35.390280516520633</v>
      </c>
      <c r="Q53" s="107">
        <f t="shared" si="30"/>
        <v>13.457940145368035</v>
      </c>
      <c r="R53" s="112">
        <f t="shared" si="30"/>
        <v>57.301576817149197</v>
      </c>
      <c r="S53" s="112">
        <f t="shared" si="30"/>
        <v>47.793018218670298</v>
      </c>
      <c r="T53" s="112"/>
      <c r="U53" s="112"/>
      <c r="V53" s="112"/>
      <c r="W53" s="107">
        <f t="shared" si="0"/>
        <v>153.94281569770817</v>
      </c>
      <c r="X53" s="107">
        <f t="shared" si="26"/>
        <v>268.92304489418734</v>
      </c>
      <c r="Y53" s="112"/>
      <c r="Z53" s="107"/>
      <c r="AA53" s="112"/>
      <c r="AB53" s="107"/>
      <c r="AC53" s="112"/>
      <c r="AD53" s="112"/>
      <c r="AE53" s="112"/>
      <c r="AF53" s="112"/>
      <c r="AG53" s="112"/>
      <c r="AH53" s="112"/>
      <c r="AI53" s="112"/>
      <c r="AJ53" s="112"/>
      <c r="AK53" s="112"/>
      <c r="AL53" s="107">
        <f t="shared" si="28"/>
        <v>193.79433809329956</v>
      </c>
      <c r="AM53" s="112"/>
      <c r="AN53" s="112"/>
      <c r="AO53" s="107">
        <f t="shared" si="6"/>
        <v>193.79433809329956</v>
      </c>
      <c r="AP53" s="110">
        <f t="shared" si="1"/>
        <v>-39.851522395591388</v>
      </c>
      <c r="AQ53" s="110">
        <f t="shared" si="7"/>
        <v>1729.6625034304402</v>
      </c>
      <c r="AR53" s="107">
        <f t="shared" si="16"/>
        <v>3834.3914496258817</v>
      </c>
      <c r="AS53" s="107"/>
      <c r="AT53" s="9"/>
      <c r="AU53" s="9"/>
      <c r="AV53" s="9"/>
      <c r="AW53" s="9"/>
      <c r="AX53" s="9"/>
    </row>
  </sheetData>
  <mergeCells count="29">
    <mergeCell ref="I1:I2"/>
    <mergeCell ref="D1:D2"/>
    <mergeCell ref="E1:E2"/>
    <mergeCell ref="F1:F2"/>
    <mergeCell ref="G1:G2"/>
    <mergeCell ref="H1:H2"/>
    <mergeCell ref="V1:V2"/>
    <mergeCell ref="J1:J2"/>
    <mergeCell ref="K1:K2"/>
    <mergeCell ref="L1:L2"/>
    <mergeCell ref="M1:M2"/>
    <mergeCell ref="N1:O1"/>
    <mergeCell ref="P1:P2"/>
    <mergeCell ref="AR1:AR2"/>
    <mergeCell ref="AT1:AU1"/>
    <mergeCell ref="AV1:AW1"/>
    <mergeCell ref="A1:B1"/>
    <mergeCell ref="X1:X2"/>
    <mergeCell ref="W1:W2"/>
    <mergeCell ref="Y1:AM1"/>
    <mergeCell ref="AN1:AN2"/>
    <mergeCell ref="AO1:AO2"/>
    <mergeCell ref="AP1:AP2"/>
    <mergeCell ref="AQ1:AQ2"/>
    <mergeCell ref="Q1:Q2"/>
    <mergeCell ref="R1:R2"/>
    <mergeCell ref="S1:S2"/>
    <mergeCell ref="T1:T2"/>
    <mergeCell ref="U1:U2"/>
  </mergeCells>
  <phoneticPr fontId="1" type="noConversion"/>
  <conditionalFormatting sqref="AQ1:AQ1048576">
    <cfRule type="cellIs" dxfId="3" priority="2" operator="lessThan">
      <formula>0</formula>
    </cfRule>
  </conditionalFormatting>
  <conditionalFormatting sqref="AR1:AR2">
    <cfRule type="cellIs" dxfId="2" priority="1" operator="lessThan">
      <formula>0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B001-86E5-46A7-B385-6754A2C292B2}">
  <dimension ref="A1:AT53"/>
  <sheetViews>
    <sheetView workbookViewId="0">
      <selection activeCell="I54" sqref="I54"/>
    </sheetView>
  </sheetViews>
  <sheetFormatPr defaultRowHeight="14.5" x14ac:dyDescent="0.3"/>
  <cols>
    <col min="1" max="1" width="23.59765625" bestFit="1" customWidth="1"/>
    <col min="2" max="2" width="7.19921875" customWidth="1"/>
    <col min="4" max="8" width="6.09765625" bestFit="1" customWidth="1"/>
    <col min="9" max="9" width="36.59765625" bestFit="1" customWidth="1"/>
    <col min="10" max="10" width="10.5" customWidth="1"/>
    <col min="11" max="21" width="8.19921875" customWidth="1"/>
    <col min="22" max="22" width="7.8984375" bestFit="1" customWidth="1"/>
    <col min="23" max="23" width="10.5" customWidth="1"/>
    <col min="24" max="24" width="6" customWidth="1"/>
    <col min="25" max="25" width="10.5" customWidth="1"/>
    <col min="26" max="27" width="6" customWidth="1"/>
    <col min="28" max="34" width="6.09765625" bestFit="1" customWidth="1"/>
    <col min="35" max="35" width="10.59765625" bestFit="1" customWidth="1"/>
    <col min="36" max="36" width="9.296875" customWidth="1"/>
    <col min="37" max="37" width="8.19921875" customWidth="1"/>
    <col min="38" max="38" width="7.09765625" bestFit="1" customWidth="1"/>
    <col min="39" max="39" width="7" style="2" bestFit="1" customWidth="1"/>
    <col min="40" max="40" width="10.59765625" bestFit="1" customWidth="1"/>
    <col min="42" max="44" width="8.8984375" bestFit="1" customWidth="1"/>
    <col min="45" max="45" width="10.09765625" customWidth="1"/>
    <col min="46" max="46" width="18" customWidth="1"/>
  </cols>
  <sheetData>
    <row r="1" spans="1:46" ht="14.5" customHeight="1" x14ac:dyDescent="0.3">
      <c r="A1" s="196" t="s">
        <v>347</v>
      </c>
      <c r="B1" s="196"/>
      <c r="C1" s="40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K1" s="189" t="s">
        <v>297</v>
      </c>
      <c r="L1" s="196" t="s">
        <v>298</v>
      </c>
      <c r="M1" s="196"/>
      <c r="N1" s="187" t="s">
        <v>299</v>
      </c>
      <c r="O1" s="187" t="s">
        <v>300</v>
      </c>
      <c r="P1" s="187" t="s">
        <v>301</v>
      </c>
      <c r="Q1" s="187" t="s">
        <v>302</v>
      </c>
      <c r="R1" s="187" t="s">
        <v>303</v>
      </c>
      <c r="S1" s="187" t="s">
        <v>304</v>
      </c>
      <c r="T1" s="187" t="s">
        <v>305</v>
      </c>
      <c r="U1" s="189" t="s">
        <v>306</v>
      </c>
      <c r="V1" s="196" t="s">
        <v>307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204" t="s">
        <v>154</v>
      </c>
      <c r="AL1" s="189" t="s">
        <v>308</v>
      </c>
      <c r="AM1" s="189" t="s">
        <v>309</v>
      </c>
      <c r="AN1" s="189" t="s">
        <v>310</v>
      </c>
      <c r="AO1" s="40"/>
      <c r="AP1" s="203" t="s">
        <v>140</v>
      </c>
      <c r="AQ1" s="203"/>
      <c r="AR1" s="203" t="s">
        <v>141</v>
      </c>
      <c r="AS1" s="203"/>
      <c r="AT1" s="131" t="s">
        <v>153</v>
      </c>
    </row>
    <row r="2" spans="1:46" x14ac:dyDescent="0.3">
      <c r="A2" s="100" t="s">
        <v>205</v>
      </c>
      <c r="B2" s="101" t="s">
        <v>349</v>
      </c>
      <c r="C2" s="40"/>
      <c r="D2" s="192"/>
      <c r="E2" s="192"/>
      <c r="F2" s="192"/>
      <c r="G2" s="192"/>
      <c r="H2" s="192"/>
      <c r="I2" s="192"/>
      <c r="J2" s="190"/>
      <c r="K2" s="190"/>
      <c r="L2" s="91" t="s">
        <v>315</v>
      </c>
      <c r="M2" s="91" t="s">
        <v>316</v>
      </c>
      <c r="N2" s="188"/>
      <c r="O2" s="188"/>
      <c r="P2" s="188"/>
      <c r="Q2" s="188"/>
      <c r="R2" s="188"/>
      <c r="S2" s="188"/>
      <c r="T2" s="188"/>
      <c r="U2" s="190"/>
      <c r="V2" s="91" t="s">
        <v>317</v>
      </c>
      <c r="W2" s="91" t="s">
        <v>318</v>
      </c>
      <c r="X2" s="91" t="s">
        <v>319</v>
      </c>
      <c r="Y2" s="91" t="s">
        <v>320</v>
      </c>
      <c r="Z2" s="91" t="s">
        <v>321</v>
      </c>
      <c r="AA2" s="91" t="s">
        <v>322</v>
      </c>
      <c r="AB2" s="91" t="s">
        <v>323</v>
      </c>
      <c r="AC2" s="91" t="s">
        <v>324</v>
      </c>
      <c r="AD2" s="91" t="s">
        <v>325</v>
      </c>
      <c r="AE2" s="91" t="s">
        <v>326</v>
      </c>
      <c r="AF2" s="91" t="s">
        <v>327</v>
      </c>
      <c r="AG2" s="91" t="s">
        <v>328</v>
      </c>
      <c r="AH2" s="91" t="s">
        <v>329</v>
      </c>
      <c r="AI2" s="91" t="s">
        <v>330</v>
      </c>
      <c r="AJ2" s="91" t="s">
        <v>331</v>
      </c>
      <c r="AK2" s="205"/>
      <c r="AL2" s="190"/>
      <c r="AM2" s="190"/>
      <c r="AN2" s="190"/>
      <c r="AO2" s="40"/>
      <c r="AP2" s="87" t="s">
        <v>138</v>
      </c>
      <c r="AQ2" s="87" t="s">
        <v>139</v>
      </c>
      <c r="AR2" s="87" t="s">
        <v>138</v>
      </c>
      <c r="AS2" s="87" t="s">
        <v>139</v>
      </c>
      <c r="AT2" s="87" t="s">
        <v>138</v>
      </c>
    </row>
    <row r="3" spans="1:46" x14ac:dyDescent="0.3">
      <c r="A3" s="40" t="s">
        <v>386</v>
      </c>
      <c r="B3" s="102">
        <v>0.02</v>
      </c>
      <c r="C3" s="40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88"/>
      <c r="J3" s="107"/>
      <c r="K3" s="107"/>
      <c r="L3" s="107">
        <v>54</v>
      </c>
      <c r="M3" s="107">
        <v>84</v>
      </c>
      <c r="N3" s="107">
        <v>2</v>
      </c>
      <c r="O3" s="107">
        <v>5</v>
      </c>
      <c r="P3" s="107"/>
      <c r="Q3" s="107"/>
      <c r="R3" s="107"/>
      <c r="S3" s="107"/>
      <c r="T3" s="107"/>
      <c r="U3" s="107">
        <f>SUM(L3:T3)</f>
        <v>145</v>
      </c>
      <c r="V3" s="107">
        <v>38.4</v>
      </c>
      <c r="W3" s="107">
        <v>5</v>
      </c>
      <c r="X3" s="107">
        <v>12</v>
      </c>
      <c r="Y3" s="107">
        <v>3</v>
      </c>
      <c r="Z3" s="107">
        <v>22.8</v>
      </c>
      <c r="AA3" s="107">
        <v>4.08</v>
      </c>
      <c r="AB3" s="107">
        <v>4.5</v>
      </c>
      <c r="AC3" s="107">
        <v>13.6</v>
      </c>
      <c r="AD3" s="107">
        <v>4.88</v>
      </c>
      <c r="AE3" s="107">
        <v>3.8</v>
      </c>
      <c r="AF3" s="107">
        <v>13</v>
      </c>
      <c r="AG3" s="107">
        <v>12</v>
      </c>
      <c r="AH3" s="107">
        <v>6.2</v>
      </c>
      <c r="AI3" s="107"/>
      <c r="AJ3" s="107"/>
      <c r="AK3" s="107"/>
      <c r="AL3" s="107">
        <f>SUM(V3:AK3)</f>
        <v>143.26</v>
      </c>
      <c r="AM3" s="110">
        <f t="shared" ref="AM3:AM53" si="0">U3-AL3</f>
        <v>1.7400000000000091</v>
      </c>
      <c r="AN3" s="110">
        <v>55</v>
      </c>
      <c r="AO3" s="107"/>
      <c r="AP3" s="112"/>
      <c r="AQ3" s="112"/>
      <c r="AR3" s="112">
        <v>90</v>
      </c>
      <c r="AS3" s="112">
        <v>90</v>
      </c>
      <c r="AT3" s="112">
        <v>50</v>
      </c>
    </row>
    <row r="4" spans="1:46" x14ac:dyDescent="0.3">
      <c r="A4" s="40" t="s">
        <v>387</v>
      </c>
      <c r="B4" s="102">
        <v>0.02</v>
      </c>
      <c r="C4" s="40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88"/>
      <c r="J4" s="107">
        <f>AN3</f>
        <v>55</v>
      </c>
      <c r="K4" s="107">
        <v>0.04</v>
      </c>
      <c r="L4" s="107">
        <f t="shared" ref="L4:L27" si="1">L3*(1+$B$4)</f>
        <v>55.08</v>
      </c>
      <c r="M4" s="109">
        <f xml:space="preserve"> 3.82*0.5*12</f>
        <v>22.919999999999998</v>
      </c>
      <c r="N4" s="107">
        <f>J4*K4</f>
        <v>2.2000000000000002</v>
      </c>
      <c r="O4" s="107">
        <f>O3*(1+$B$3)</f>
        <v>5.0999999999999996</v>
      </c>
      <c r="P4" s="107"/>
      <c r="Q4" s="107"/>
      <c r="R4" s="107"/>
      <c r="S4" s="107"/>
      <c r="T4" s="107"/>
      <c r="U4" s="107">
        <f t="shared" ref="U4:U52" si="2">SUM(L4:T4)</f>
        <v>85.3</v>
      </c>
      <c r="V4" s="107">
        <v>38.4</v>
      </c>
      <c r="W4" s="107">
        <f>W3*(1+$B$3)</f>
        <v>5.0999999999999996</v>
      </c>
      <c r="X4" s="107">
        <v>12</v>
      </c>
      <c r="Y4" s="107">
        <f>Y3*(1+$B$3)</f>
        <v>3.06</v>
      </c>
      <c r="Z4" s="107">
        <f t="shared" ref="Y4:Z8" si="3">Z3*(1+$B$3)</f>
        <v>23.256</v>
      </c>
      <c r="AA4" s="107">
        <v>4.08</v>
      </c>
      <c r="AB4" s="107">
        <v>4.7</v>
      </c>
      <c r="AC4" s="107">
        <v>13.6</v>
      </c>
      <c r="AD4" s="107">
        <f>AD3*(1+$B$3)</f>
        <v>4.9775999999999998</v>
      </c>
      <c r="AE4" s="107">
        <f t="shared" ref="AD4:AF8" si="4">AE3*(1+$B$3)</f>
        <v>3.8759999999999999</v>
      </c>
      <c r="AF4" s="107">
        <f>AF3*(1+$B$3)</f>
        <v>13.26</v>
      </c>
      <c r="AG4" s="107">
        <v>12</v>
      </c>
      <c r="AH4" s="107">
        <f>AH3*(1+$B$3)</f>
        <v>6.3240000000000007</v>
      </c>
      <c r="AI4" s="107"/>
      <c r="AJ4" s="107"/>
      <c r="AK4" s="107">
        <v>-6</v>
      </c>
      <c r="AL4" s="107">
        <f t="shared" ref="AL4:AL53" si="5">SUM(V4:AK4)</f>
        <v>138.6336</v>
      </c>
      <c r="AM4" s="110">
        <f t="shared" si="0"/>
        <v>-53.333600000000004</v>
      </c>
      <c r="AN4" s="110">
        <f t="shared" ref="AN4:AN53" si="6">J4+AM4</f>
        <v>1.6663999999999959</v>
      </c>
      <c r="AO4" s="107"/>
      <c r="AP4" s="112">
        <f t="shared" ref="AP4:AP27" si="7">L4*0.06</f>
        <v>3.3047999999999997</v>
      </c>
      <c r="AQ4" s="112">
        <f>3.82*12*0.06</f>
        <v>2.7503999999999995</v>
      </c>
      <c r="AR4" s="112">
        <f t="shared" ref="AR4:AR27" si="8">AR3*(1+$B$6)+AP4</f>
        <v>96.904800000000009</v>
      </c>
      <c r="AS4" s="112">
        <f t="shared" ref="AS4:AS27" si="9">AS3*(1+$B$6)+AQ4</f>
        <v>96.350400000000008</v>
      </c>
      <c r="AT4" s="112">
        <f t="shared" ref="AT4:AT13" si="10">AT3*(1+$B$7) + 6</f>
        <v>58</v>
      </c>
    </row>
    <row r="5" spans="1:46" x14ac:dyDescent="0.3">
      <c r="A5" s="40" t="s">
        <v>388</v>
      </c>
      <c r="B5" s="102">
        <v>0.01</v>
      </c>
      <c r="C5" s="40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88"/>
      <c r="J5" s="107">
        <f>AN4</f>
        <v>1.6663999999999959</v>
      </c>
      <c r="K5" s="107">
        <v>0.04</v>
      </c>
      <c r="L5" s="107">
        <f t="shared" si="1"/>
        <v>56.181599999999996</v>
      </c>
      <c r="M5" s="107">
        <f>M3*(1+$B$5)</f>
        <v>84.84</v>
      </c>
      <c r="N5" s="107">
        <f>J5*K5</f>
        <v>6.665599999999984E-2</v>
      </c>
      <c r="O5" s="107">
        <f t="shared" ref="O5:Q30" si="11">O4*(1+$B$3)</f>
        <v>5.202</v>
      </c>
      <c r="P5" s="107"/>
      <c r="Q5" s="107"/>
      <c r="R5" s="107"/>
      <c r="S5" s="107"/>
      <c r="T5" s="107"/>
      <c r="U5" s="107">
        <f t="shared" si="2"/>
        <v>146.290256</v>
      </c>
      <c r="V5" s="107">
        <v>38.4</v>
      </c>
      <c r="W5" s="107">
        <f>W4*(1+$B$3)</f>
        <v>5.202</v>
      </c>
      <c r="X5" s="107">
        <v>12</v>
      </c>
      <c r="Y5" s="107">
        <f t="shared" si="3"/>
        <v>3.1212</v>
      </c>
      <c r="Z5" s="107">
        <f t="shared" si="3"/>
        <v>23.721119999999999</v>
      </c>
      <c r="AA5" s="107">
        <v>4.08</v>
      </c>
      <c r="AB5" s="107">
        <v>4.9000000000000004</v>
      </c>
      <c r="AC5" s="107">
        <v>13.6</v>
      </c>
      <c r="AD5" s="107">
        <f t="shared" si="4"/>
        <v>5.0771519999999999</v>
      </c>
      <c r="AE5" s="107">
        <f t="shared" si="4"/>
        <v>3.9535200000000001</v>
      </c>
      <c r="AF5" s="107">
        <f t="shared" si="4"/>
        <v>13.5252</v>
      </c>
      <c r="AG5" s="107">
        <v>12</v>
      </c>
      <c r="AH5" s="107">
        <v>7.2</v>
      </c>
      <c r="AI5" s="107"/>
      <c r="AJ5" s="107"/>
      <c r="AK5" s="107">
        <v>-6</v>
      </c>
      <c r="AL5" s="107">
        <f t="shared" si="5"/>
        <v>140.780192</v>
      </c>
      <c r="AM5" s="110">
        <f t="shared" si="0"/>
        <v>5.5100639999999999</v>
      </c>
      <c r="AN5" s="110">
        <f t="shared" si="6"/>
        <v>7.1764639999999957</v>
      </c>
      <c r="AO5" s="107"/>
      <c r="AP5" s="112">
        <f t="shared" si="7"/>
        <v>3.3708959999999997</v>
      </c>
      <c r="AQ5" s="112">
        <f t="shared" ref="AQ5:AQ27" si="12">3.82*12*0.06</f>
        <v>2.7503999999999995</v>
      </c>
      <c r="AR5" s="112">
        <f t="shared" si="8"/>
        <v>104.15188800000001</v>
      </c>
      <c r="AS5" s="112">
        <f t="shared" si="9"/>
        <v>102.95481600000001</v>
      </c>
      <c r="AT5" s="112">
        <f t="shared" si="10"/>
        <v>66.319999999999993</v>
      </c>
    </row>
    <row r="6" spans="1:46" x14ac:dyDescent="0.3">
      <c r="A6" s="40" t="s">
        <v>389</v>
      </c>
      <c r="B6" s="102">
        <v>0.04</v>
      </c>
      <c r="C6" s="40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88"/>
      <c r="J6" s="107">
        <f>AN5</f>
        <v>7.1764639999999957</v>
      </c>
      <c r="K6" s="107">
        <v>0.04</v>
      </c>
      <c r="L6" s="107">
        <f t="shared" si="1"/>
        <v>57.305231999999997</v>
      </c>
      <c r="M6" s="107">
        <f t="shared" ref="M6:M27" si="13">M5*(1+$B$5)</f>
        <v>85.688400000000001</v>
      </c>
      <c r="N6" s="107">
        <f>J6*K6</f>
        <v>0.28705855999999985</v>
      </c>
      <c r="O6" s="107">
        <f t="shared" si="11"/>
        <v>5.3060400000000003</v>
      </c>
      <c r="P6" s="107"/>
      <c r="Q6" s="107"/>
      <c r="R6" s="107"/>
      <c r="S6" s="107"/>
      <c r="T6" s="107"/>
      <c r="U6" s="107">
        <f t="shared" si="2"/>
        <v>148.58673055999998</v>
      </c>
      <c r="V6" s="107">
        <v>38.4</v>
      </c>
      <c r="W6" s="107">
        <f>W5*(1+$B$3)</f>
        <v>5.3060400000000003</v>
      </c>
      <c r="X6" s="107">
        <v>12</v>
      </c>
      <c r="Y6" s="107">
        <f t="shared" si="3"/>
        <v>3.183624</v>
      </c>
      <c r="Z6" s="107">
        <f t="shared" si="3"/>
        <v>24.195542400000001</v>
      </c>
      <c r="AA6" s="107">
        <v>4.08</v>
      </c>
      <c r="AB6" s="107">
        <v>5.3</v>
      </c>
      <c r="AC6" s="107">
        <v>13.6</v>
      </c>
      <c r="AD6" s="107">
        <f t="shared" si="4"/>
        <v>5.17869504</v>
      </c>
      <c r="AE6" s="107">
        <f t="shared" si="4"/>
        <v>4.0325904000000001</v>
      </c>
      <c r="AF6" s="107">
        <f t="shared" si="4"/>
        <v>13.795704000000001</v>
      </c>
      <c r="AG6" s="107">
        <v>12</v>
      </c>
      <c r="AH6" s="107">
        <f>AH5*(1+$B$3)</f>
        <v>7.3440000000000003</v>
      </c>
      <c r="AI6" s="107"/>
      <c r="AJ6" s="107"/>
      <c r="AK6" s="107">
        <v>-6</v>
      </c>
      <c r="AL6" s="107">
        <f t="shared" si="5"/>
        <v>142.41619584</v>
      </c>
      <c r="AM6" s="110">
        <f t="shared" si="0"/>
        <v>6.1705347199999778</v>
      </c>
      <c r="AN6" s="110">
        <f t="shared" si="6"/>
        <v>13.346998719999974</v>
      </c>
      <c r="AO6" s="107"/>
      <c r="AP6" s="112">
        <f t="shared" si="7"/>
        <v>3.4383139199999997</v>
      </c>
      <c r="AQ6" s="112">
        <f t="shared" si="12"/>
        <v>2.7503999999999995</v>
      </c>
      <c r="AR6" s="112">
        <f t="shared" si="8"/>
        <v>111.75627744000002</v>
      </c>
      <c r="AS6" s="112">
        <f t="shared" si="9"/>
        <v>109.82340864000001</v>
      </c>
      <c r="AT6" s="112">
        <f t="shared" si="10"/>
        <v>74.972799999999992</v>
      </c>
    </row>
    <row r="7" spans="1:46" x14ac:dyDescent="0.3">
      <c r="A7" s="84" t="s">
        <v>390</v>
      </c>
      <c r="B7" s="103">
        <v>0.04</v>
      </c>
      <c r="C7" s="40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88" t="s">
        <v>337</v>
      </c>
      <c r="J7" s="107">
        <f>AN6</f>
        <v>13.346998719999974</v>
      </c>
      <c r="K7" s="107">
        <v>0.04</v>
      </c>
      <c r="L7" s="107">
        <f t="shared" si="1"/>
        <v>58.451336640000001</v>
      </c>
      <c r="M7" s="107">
        <f t="shared" si="13"/>
        <v>86.545283999999995</v>
      </c>
      <c r="N7" s="107">
        <f>J7*K7</f>
        <v>0.533879948799999</v>
      </c>
      <c r="O7" s="107">
        <f t="shared" si="11"/>
        <v>5.4121608000000005</v>
      </c>
      <c r="P7" s="107"/>
      <c r="Q7" s="107"/>
      <c r="R7" s="107"/>
      <c r="S7" s="107"/>
      <c r="T7" s="107"/>
      <c r="U7" s="107">
        <f t="shared" si="2"/>
        <v>150.94266138880002</v>
      </c>
      <c r="V7" s="107">
        <v>38.4</v>
      </c>
      <c r="W7" s="107">
        <f>W6*(1+$B$3)</f>
        <v>5.4121608000000005</v>
      </c>
      <c r="X7" s="107">
        <v>12</v>
      </c>
      <c r="Y7" s="107">
        <f t="shared" si="3"/>
        <v>3.2472964800000002</v>
      </c>
      <c r="Z7" s="107">
        <f t="shared" si="3"/>
        <v>24.679453248000002</v>
      </c>
      <c r="AA7" s="107">
        <v>4.08</v>
      </c>
      <c r="AB7" s="107">
        <v>5.5</v>
      </c>
      <c r="AC7" s="107">
        <v>13.6</v>
      </c>
      <c r="AD7" s="107">
        <f t="shared" si="4"/>
        <v>5.2822689407999999</v>
      </c>
      <c r="AE7" s="107">
        <f t="shared" si="4"/>
        <v>4.113242208</v>
      </c>
      <c r="AF7" s="107">
        <f t="shared" si="4"/>
        <v>14.07161808</v>
      </c>
      <c r="AG7" s="107">
        <v>12</v>
      </c>
      <c r="AH7" s="107">
        <v>8.1999999999999993</v>
      </c>
      <c r="AI7" s="107"/>
      <c r="AJ7" s="117">
        <f>理財目標費用終值!D16</f>
        <v>21.648643199999999</v>
      </c>
      <c r="AK7" s="107">
        <v>-6</v>
      </c>
      <c r="AL7" s="107">
        <f t="shared" si="5"/>
        <v>166.23468295679999</v>
      </c>
      <c r="AM7" s="110">
        <f t="shared" si="0"/>
        <v>-15.292021567999967</v>
      </c>
      <c r="AN7" s="110">
        <f t="shared" si="6"/>
        <v>-1.9450228479999936</v>
      </c>
      <c r="AO7" s="107"/>
      <c r="AP7" s="112">
        <f t="shared" si="7"/>
        <v>3.5070801983999997</v>
      </c>
      <c r="AQ7" s="112">
        <f t="shared" si="12"/>
        <v>2.7503999999999995</v>
      </c>
      <c r="AR7" s="112">
        <f t="shared" si="8"/>
        <v>119.73360873600002</v>
      </c>
      <c r="AS7" s="112">
        <f t="shared" si="9"/>
        <v>116.96674498560002</v>
      </c>
      <c r="AT7" s="112">
        <f t="shared" si="10"/>
        <v>83.971711999999997</v>
      </c>
    </row>
    <row r="8" spans="1:46" x14ac:dyDescent="0.3">
      <c r="C8" s="40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88" t="s">
        <v>338</v>
      </c>
      <c r="J8" s="107">
        <f>AN7</f>
        <v>-1.9450228479999936</v>
      </c>
      <c r="K8" s="107">
        <v>0.04</v>
      </c>
      <c r="L8" s="107">
        <f t="shared" si="1"/>
        <v>59.6203633728</v>
      </c>
      <c r="M8" s="107">
        <f t="shared" si="13"/>
        <v>87.410736839999998</v>
      </c>
      <c r="N8" s="107">
        <f>J8*K8</f>
        <v>-7.7800913919999742E-2</v>
      </c>
      <c r="O8" s="107">
        <f t="shared" si="11"/>
        <v>5.5204040160000005</v>
      </c>
      <c r="P8" s="107"/>
      <c r="Q8" s="107"/>
      <c r="R8" s="107"/>
      <c r="S8" s="107"/>
      <c r="T8" s="107"/>
      <c r="U8" s="107">
        <f t="shared" si="2"/>
        <v>152.47370331488003</v>
      </c>
      <c r="V8" s="107">
        <v>38.4</v>
      </c>
      <c r="W8" s="107">
        <f>W7*(1+$B$3)</f>
        <v>5.5204040160000005</v>
      </c>
      <c r="X8" s="107"/>
      <c r="Y8" s="107">
        <f t="shared" si="3"/>
        <v>3.3122424096</v>
      </c>
      <c r="Z8" s="107">
        <f>Z7*(1+$B$3)*(3/4)</f>
        <v>18.879781734720002</v>
      </c>
      <c r="AA8" s="107">
        <v>4.08</v>
      </c>
      <c r="AB8" s="107">
        <v>5.3</v>
      </c>
      <c r="AC8" s="107">
        <v>13.6</v>
      </c>
      <c r="AD8" s="107">
        <f t="shared" si="4"/>
        <v>5.3879143196159998</v>
      </c>
      <c r="AE8" s="107">
        <f t="shared" si="4"/>
        <v>4.19550705216</v>
      </c>
      <c r="AF8" s="107">
        <f>AF7*(1+$B$3)*0.5</f>
        <v>7.1765252208000003</v>
      </c>
      <c r="AG8" s="107">
        <v>12</v>
      </c>
      <c r="AH8" s="107">
        <f>AH7*(1+$B$3)</f>
        <v>8.363999999999999</v>
      </c>
      <c r="AI8" s="107"/>
      <c r="AJ8" s="117">
        <f>理財目標費用終值!D3</f>
        <v>27.602020079999999</v>
      </c>
      <c r="AK8" s="107">
        <v>-6</v>
      </c>
      <c r="AL8" s="107">
        <f t="shared" si="5"/>
        <v>147.81839483289599</v>
      </c>
      <c r="AM8" s="110">
        <f t="shared" si="0"/>
        <v>4.6553084819840365</v>
      </c>
      <c r="AN8" s="110">
        <f t="shared" si="6"/>
        <v>2.7102856339840429</v>
      </c>
      <c r="AO8" s="107"/>
      <c r="AP8" s="112">
        <f t="shared" si="7"/>
        <v>3.5772218023679998</v>
      </c>
      <c r="AQ8" s="112">
        <f t="shared" si="12"/>
        <v>2.7503999999999995</v>
      </c>
      <c r="AR8" s="112">
        <f t="shared" si="8"/>
        <v>128.10017488780801</v>
      </c>
      <c r="AS8" s="112">
        <f t="shared" si="9"/>
        <v>124.39581478502402</v>
      </c>
      <c r="AT8" s="112">
        <f t="shared" si="10"/>
        <v>93.330580479999995</v>
      </c>
    </row>
    <row r="9" spans="1:46" x14ac:dyDescent="0.3">
      <c r="A9" s="40"/>
      <c r="B9" s="54"/>
      <c r="C9" s="40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88" t="s">
        <v>339</v>
      </c>
      <c r="J9" s="107">
        <f t="shared" ref="J9:J53" si="14">AN8</f>
        <v>2.7102856339840429</v>
      </c>
      <c r="K9" s="107">
        <v>0.04</v>
      </c>
      <c r="L9" s="107">
        <f t="shared" si="1"/>
        <v>60.812770640255998</v>
      </c>
      <c r="M9" s="107">
        <f t="shared" si="13"/>
        <v>88.284844208400003</v>
      </c>
      <c r="N9" s="107">
        <v>3</v>
      </c>
      <c r="O9" s="107">
        <f t="shared" si="11"/>
        <v>5.6308120963200006</v>
      </c>
      <c r="P9" s="107"/>
      <c r="Q9" s="107"/>
      <c r="R9" s="107"/>
      <c r="S9" s="107"/>
      <c r="T9" s="107"/>
      <c r="U9" s="107">
        <f t="shared" si="2"/>
        <v>157.72842694497601</v>
      </c>
      <c r="V9" s="107">
        <v>38.4</v>
      </c>
      <c r="W9" s="107">
        <v>6</v>
      </c>
      <c r="X9" s="107"/>
      <c r="Y9" s="107">
        <v>4</v>
      </c>
      <c r="Z9" s="107">
        <f>Z8*(1+$B$3)</f>
        <v>19.257377369414403</v>
      </c>
      <c r="AA9" s="107">
        <v>4.08</v>
      </c>
      <c r="AB9" s="107">
        <v>5.6</v>
      </c>
      <c r="AC9" s="107">
        <v>13.6</v>
      </c>
      <c r="AD9" s="107">
        <v>5.88</v>
      </c>
      <c r="AE9" s="107">
        <f>AE8*(1+$B$3)</f>
        <v>4.2794171932031997</v>
      </c>
      <c r="AF9" s="107">
        <f>AF8*(1+$B$3)</f>
        <v>7.3200557252160001</v>
      </c>
      <c r="AG9" s="107">
        <v>12</v>
      </c>
      <c r="AH9" s="107">
        <v>9.1999999999999993</v>
      </c>
      <c r="AI9" s="107"/>
      <c r="AJ9" s="117">
        <f>理財目標費用終值!D4</f>
        <v>28.154060481600002</v>
      </c>
      <c r="AK9" s="107">
        <v>-6</v>
      </c>
      <c r="AL9" s="107">
        <f t="shared" si="5"/>
        <v>151.77091076943358</v>
      </c>
      <c r="AM9" s="110">
        <f t="shared" si="0"/>
        <v>5.9575161755424233</v>
      </c>
      <c r="AN9" s="110">
        <f t="shared" si="6"/>
        <v>8.6678018095264662</v>
      </c>
      <c r="AO9" s="107"/>
      <c r="AP9" s="112">
        <f t="shared" si="7"/>
        <v>3.6487662384153596</v>
      </c>
      <c r="AQ9" s="112">
        <f t="shared" si="12"/>
        <v>2.7503999999999995</v>
      </c>
      <c r="AR9" s="112">
        <f t="shared" si="8"/>
        <v>136.8729481217357</v>
      </c>
      <c r="AS9" s="112">
        <f t="shared" si="9"/>
        <v>132.122047376425</v>
      </c>
      <c r="AT9" s="112">
        <f t="shared" si="10"/>
        <v>103.06380369919999</v>
      </c>
    </row>
    <row r="10" spans="1:46" x14ac:dyDescent="0.3">
      <c r="A10" s="40"/>
      <c r="B10" s="54"/>
      <c r="C10" s="40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88" t="s">
        <v>340</v>
      </c>
      <c r="J10" s="107">
        <f t="shared" si="14"/>
        <v>8.6678018095264662</v>
      </c>
      <c r="K10" s="107">
        <v>0.04</v>
      </c>
      <c r="L10" s="107">
        <f t="shared" si="1"/>
        <v>62.029026053061116</v>
      </c>
      <c r="M10" s="107">
        <f t="shared" si="13"/>
        <v>89.167692650484</v>
      </c>
      <c r="N10" s="107">
        <f>J10*K10</f>
        <v>0.34671207238105867</v>
      </c>
      <c r="O10" s="107">
        <f t="shared" si="11"/>
        <v>5.7434283382464004</v>
      </c>
      <c r="P10" s="107"/>
      <c r="Q10" s="107"/>
      <c r="R10" s="107"/>
      <c r="S10" s="107"/>
      <c r="T10" s="107"/>
      <c r="U10" s="107">
        <f t="shared" si="2"/>
        <v>157.28685911417256</v>
      </c>
      <c r="V10" s="107">
        <v>38.4</v>
      </c>
      <c r="W10" s="107">
        <f t="shared" ref="W10:W26" si="15">W9*(1+$B$3)</f>
        <v>6.12</v>
      </c>
      <c r="X10" s="107"/>
      <c r="Y10" s="107">
        <f>Y9*(1+$B$3)</f>
        <v>4.08</v>
      </c>
      <c r="Z10" s="107">
        <f>Z9*(1+$B$3)*(2/3)</f>
        <v>13.095016611201794</v>
      </c>
      <c r="AA10" s="107">
        <v>4.08</v>
      </c>
      <c r="AB10" s="107">
        <v>5.0999999999999996</v>
      </c>
      <c r="AC10" s="107">
        <v>13.6</v>
      </c>
      <c r="AD10" s="107">
        <f t="shared" ref="AD10:AE25" si="16">AD9*(1+$B$3)</f>
        <v>5.9976000000000003</v>
      </c>
      <c r="AE10" s="107">
        <f t="shared" si="16"/>
        <v>4.3650055370672636</v>
      </c>
      <c r="AF10" s="107"/>
      <c r="AG10" s="107">
        <v>12</v>
      </c>
      <c r="AH10" s="107">
        <f>AH9*(1+$B$3)</f>
        <v>9.3839999999999986</v>
      </c>
      <c r="AI10" s="107"/>
      <c r="AJ10" s="117">
        <f>理財目標費用終值!D5+理財目標費用終值!D8</f>
        <v>57.434283382463988</v>
      </c>
      <c r="AK10" s="107">
        <v>-6</v>
      </c>
      <c r="AL10" s="107">
        <f t="shared" si="5"/>
        <v>167.65590553073304</v>
      </c>
      <c r="AM10" s="110">
        <f t="shared" si="0"/>
        <v>-10.369046416560479</v>
      </c>
      <c r="AN10" s="110">
        <f t="shared" si="6"/>
        <v>-1.7012446070340133</v>
      </c>
      <c r="AO10" s="107"/>
      <c r="AP10" s="112">
        <f t="shared" si="7"/>
        <v>3.721741563183667</v>
      </c>
      <c r="AQ10" s="112">
        <f t="shared" si="12"/>
        <v>2.7503999999999995</v>
      </c>
      <c r="AR10" s="112">
        <f t="shared" si="8"/>
        <v>146.06960760978879</v>
      </c>
      <c r="AS10" s="112">
        <f t="shared" si="9"/>
        <v>140.15732927148201</v>
      </c>
      <c r="AT10" s="112">
        <f t="shared" si="10"/>
        <v>113.186355847168</v>
      </c>
    </row>
    <row r="11" spans="1:46" x14ac:dyDescent="0.3">
      <c r="A11" s="40"/>
      <c r="B11" s="54"/>
      <c r="C11" s="40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88" t="s">
        <v>341</v>
      </c>
      <c r="J11" s="107">
        <f t="shared" si="14"/>
        <v>-1.7012446070340133</v>
      </c>
      <c r="K11" s="107">
        <v>0.04</v>
      </c>
      <c r="L11" s="107">
        <f t="shared" si="1"/>
        <v>63.269606574122342</v>
      </c>
      <c r="M11" s="107">
        <f t="shared" si="13"/>
        <v>90.059369576988843</v>
      </c>
      <c r="N11" s="107">
        <f>J11*K11</f>
        <v>-6.8049784281360534E-2</v>
      </c>
      <c r="O11" s="107">
        <f t="shared" si="11"/>
        <v>5.8582969050113283</v>
      </c>
      <c r="P11" s="107"/>
      <c r="Q11" s="107"/>
      <c r="R11" s="107"/>
      <c r="S11" s="107"/>
      <c r="T11" s="107"/>
      <c r="U11" s="107">
        <f t="shared" si="2"/>
        <v>159.11922327184115</v>
      </c>
      <c r="V11" s="107">
        <v>38.4</v>
      </c>
      <c r="W11" s="107">
        <f t="shared" si="15"/>
        <v>6.2423999999999999</v>
      </c>
      <c r="X11" s="107"/>
      <c r="Y11" s="107">
        <f>Y10*(1+$B$3)</f>
        <v>4.1616</v>
      </c>
      <c r="Z11" s="107">
        <f>Z10*(1+$B$3)</f>
        <v>13.35691694342583</v>
      </c>
      <c r="AA11" s="107">
        <v>4.08</v>
      </c>
      <c r="AB11" s="107">
        <v>5.8</v>
      </c>
      <c r="AC11" s="107">
        <v>13.6</v>
      </c>
      <c r="AD11" s="107">
        <f t="shared" si="16"/>
        <v>6.1175520000000008</v>
      </c>
      <c r="AE11" s="107">
        <f t="shared" si="16"/>
        <v>4.4523056478086085</v>
      </c>
      <c r="AF11" s="107"/>
      <c r="AG11" s="107">
        <v>12</v>
      </c>
      <c r="AH11" s="107">
        <v>10.199999999999999</v>
      </c>
      <c r="AI11" s="107"/>
      <c r="AJ11" s="117">
        <f>理財目標費用終值!D6+理財目標費用終值!D9+理財目標費用終值!D17</f>
        <v>82.01615667015858</v>
      </c>
      <c r="AK11" s="107">
        <v>-6</v>
      </c>
      <c r="AL11" s="107">
        <f t="shared" si="5"/>
        <v>194.42693126139301</v>
      </c>
      <c r="AM11" s="110">
        <f t="shared" si="0"/>
        <v>-35.307707989551858</v>
      </c>
      <c r="AN11" s="110">
        <f t="shared" si="6"/>
        <v>-37.008952596585871</v>
      </c>
      <c r="AO11" s="107"/>
      <c r="AP11" s="112">
        <f t="shared" si="7"/>
        <v>3.7961763944473406</v>
      </c>
      <c r="AQ11" s="112">
        <f t="shared" si="12"/>
        <v>2.7503999999999995</v>
      </c>
      <c r="AR11" s="112">
        <f t="shared" si="8"/>
        <v>155.70856830862769</v>
      </c>
      <c r="AS11" s="112">
        <f t="shared" si="9"/>
        <v>148.51402244234131</v>
      </c>
      <c r="AT11" s="112">
        <f t="shared" si="10"/>
        <v>123.71381008105473</v>
      </c>
    </row>
    <row r="12" spans="1:46" x14ac:dyDescent="0.3">
      <c r="A12" s="40"/>
      <c r="B12" s="54"/>
      <c r="C12" s="40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88" t="s">
        <v>342</v>
      </c>
      <c r="J12" s="107">
        <f t="shared" si="14"/>
        <v>-37.008952596585871</v>
      </c>
      <c r="K12" s="107">
        <v>0.04</v>
      </c>
      <c r="L12" s="107">
        <f t="shared" si="1"/>
        <v>64.534998705604792</v>
      </c>
      <c r="M12" s="107">
        <f t="shared" si="13"/>
        <v>90.959963272758728</v>
      </c>
      <c r="N12" s="107">
        <f>J12*K12</f>
        <v>-1.4803581038634348</v>
      </c>
      <c r="O12" s="107">
        <f t="shared" si="11"/>
        <v>5.9754628431115551</v>
      </c>
      <c r="P12" s="107"/>
      <c r="Q12" s="107"/>
      <c r="R12" s="107"/>
      <c r="S12" s="107"/>
      <c r="T12" s="107"/>
      <c r="U12" s="107">
        <f t="shared" si="2"/>
        <v>159.99006671761163</v>
      </c>
      <c r="V12" s="107">
        <v>38.4</v>
      </c>
      <c r="W12" s="107">
        <f t="shared" si="15"/>
        <v>6.367248</v>
      </c>
      <c r="X12" s="107"/>
      <c r="Y12" s="107">
        <f>Y11*(1+$B$3)</f>
        <v>4.2448319999999997</v>
      </c>
      <c r="Z12" s="107">
        <f>Z11*(1+$B$3)</f>
        <v>13.624055282294346</v>
      </c>
      <c r="AA12" s="107">
        <v>4.08</v>
      </c>
      <c r="AB12" s="107">
        <v>6.3</v>
      </c>
      <c r="AC12" s="107">
        <v>13.6</v>
      </c>
      <c r="AD12" s="107">
        <f t="shared" si="16"/>
        <v>6.2399030400000006</v>
      </c>
      <c r="AE12" s="107">
        <f t="shared" si="16"/>
        <v>4.5413517607647806</v>
      </c>
      <c r="AF12" s="107"/>
      <c r="AG12" s="107">
        <v>12</v>
      </c>
      <c r="AH12" s="107">
        <f>AH11*(1+$B$3)</f>
        <v>10.404</v>
      </c>
      <c r="AI12" s="107"/>
      <c r="AJ12" s="117">
        <f>理財目標費用終值!D10</f>
        <v>29.877314215557771</v>
      </c>
      <c r="AK12" s="107">
        <v>-6</v>
      </c>
      <c r="AL12" s="107">
        <f t="shared" si="5"/>
        <v>143.67870429861688</v>
      </c>
      <c r="AM12" s="110">
        <f t="shared" si="0"/>
        <v>16.311362418994747</v>
      </c>
      <c r="AN12" s="110">
        <f t="shared" si="6"/>
        <v>-20.697590177591124</v>
      </c>
      <c r="AO12" s="107"/>
      <c r="AP12" s="112">
        <f t="shared" si="7"/>
        <v>3.8720999223362873</v>
      </c>
      <c r="AQ12" s="112">
        <f t="shared" si="12"/>
        <v>2.7503999999999995</v>
      </c>
      <c r="AR12" s="112">
        <f t="shared" si="8"/>
        <v>165.80901096330908</v>
      </c>
      <c r="AS12" s="112">
        <f t="shared" si="9"/>
        <v>157.204983340035</v>
      </c>
      <c r="AT12" s="112">
        <f t="shared" si="10"/>
        <v>134.66236248429692</v>
      </c>
    </row>
    <row r="13" spans="1:46" x14ac:dyDescent="0.3">
      <c r="A13" s="40"/>
      <c r="B13" s="54"/>
      <c r="C13" s="40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88" t="s">
        <v>343</v>
      </c>
      <c r="J13" s="107">
        <f t="shared" si="14"/>
        <v>-20.697590177591124</v>
      </c>
      <c r="K13" s="107">
        <v>0.04</v>
      </c>
      <c r="L13" s="107">
        <f t="shared" si="1"/>
        <v>65.825698679716893</v>
      </c>
      <c r="M13" s="107">
        <f t="shared" si="13"/>
        <v>91.869562905486319</v>
      </c>
      <c r="N13" s="107">
        <f>J13*K13</f>
        <v>-0.82790360710364497</v>
      </c>
      <c r="O13" s="107">
        <f t="shared" si="11"/>
        <v>6.094972099973786</v>
      </c>
      <c r="P13" s="107"/>
      <c r="Q13" s="107"/>
      <c r="R13" s="107"/>
      <c r="S13" s="107"/>
      <c r="T13" s="107"/>
      <c r="U13" s="107">
        <f t="shared" si="2"/>
        <v>162.96233007807334</v>
      </c>
      <c r="V13" s="107">
        <v>38.4</v>
      </c>
      <c r="W13" s="107">
        <f t="shared" si="15"/>
        <v>6.4945929600000003</v>
      </c>
      <c r="X13" s="107"/>
      <c r="Y13" s="107">
        <f>Y12*(1+$B$3)</f>
        <v>4.3297286399999999</v>
      </c>
      <c r="Z13" s="107">
        <f>Z12*(1+$B$3)</f>
        <v>13.896536387940234</v>
      </c>
      <c r="AA13" s="107">
        <v>4.08</v>
      </c>
      <c r="AB13" s="107">
        <v>6.6</v>
      </c>
      <c r="AC13" s="107">
        <v>13.6</v>
      </c>
      <c r="AD13" s="107">
        <f t="shared" si="16"/>
        <v>6.3647011008000005</v>
      </c>
      <c r="AE13" s="107">
        <f t="shared" si="16"/>
        <v>4.6321787959800762</v>
      </c>
      <c r="AF13" s="107"/>
      <c r="AG13" s="107">
        <f>12*2</f>
        <v>24</v>
      </c>
      <c r="AH13" s="107">
        <v>11.2</v>
      </c>
      <c r="AI13" s="107"/>
      <c r="AJ13" s="117">
        <f>理財目標費用終值!D11</f>
        <v>30.474860499868928</v>
      </c>
      <c r="AK13" s="107">
        <v>-6</v>
      </c>
      <c r="AL13" s="107">
        <f t="shared" si="5"/>
        <v>158.07259838458921</v>
      </c>
      <c r="AM13" s="110">
        <f t="shared" si="0"/>
        <v>4.8897316934841228</v>
      </c>
      <c r="AN13" s="110">
        <f t="shared" si="6"/>
        <v>-15.807858484107001</v>
      </c>
      <c r="AO13" s="107"/>
      <c r="AP13" s="112">
        <f t="shared" si="7"/>
        <v>3.9495419207830134</v>
      </c>
      <c r="AQ13" s="112">
        <f t="shared" si="12"/>
        <v>2.7503999999999995</v>
      </c>
      <c r="AR13" s="112">
        <f t="shared" si="8"/>
        <v>176.39091332262447</v>
      </c>
      <c r="AS13" s="112">
        <f t="shared" si="9"/>
        <v>166.24358267363641</v>
      </c>
      <c r="AT13" s="112">
        <f t="shared" si="10"/>
        <v>146.0488569836688</v>
      </c>
    </row>
    <row r="14" spans="1:46" x14ac:dyDescent="0.3">
      <c r="A14" s="40"/>
      <c r="B14" s="54"/>
      <c r="C14" s="40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88"/>
      <c r="J14" s="107">
        <f t="shared" si="14"/>
        <v>-15.807858484107001</v>
      </c>
      <c r="K14" s="107">
        <v>0.04</v>
      </c>
      <c r="L14" s="107">
        <f t="shared" si="1"/>
        <v>67.142212653311233</v>
      </c>
      <c r="M14" s="107">
        <f t="shared" si="13"/>
        <v>92.788258534541185</v>
      </c>
      <c r="N14" s="107">
        <f>J14*K14</f>
        <v>-0.63231433936428005</v>
      </c>
      <c r="O14" s="107">
        <f t="shared" si="11"/>
        <v>6.2168715419732621</v>
      </c>
      <c r="P14" s="107"/>
      <c r="Q14" s="107"/>
      <c r="R14" s="107"/>
      <c r="S14" s="107"/>
      <c r="T14" s="107"/>
      <c r="U14" s="107">
        <f t="shared" si="2"/>
        <v>165.5150283904614</v>
      </c>
      <c r="V14" s="107">
        <v>38.4</v>
      </c>
      <c r="W14" s="107">
        <f t="shared" si="15"/>
        <v>6.6244848192000001</v>
      </c>
      <c r="X14" s="107"/>
      <c r="Y14" s="107">
        <f>Y13*(1+$B$3)</f>
        <v>4.4163232128000001</v>
      </c>
      <c r="Z14" s="107">
        <f>Z13*(1+$B$3)</f>
        <v>14.17446711569904</v>
      </c>
      <c r="AA14" s="107">
        <v>4.08</v>
      </c>
      <c r="AB14" s="107">
        <v>7.2</v>
      </c>
      <c r="AC14" s="107">
        <v>7.6</v>
      </c>
      <c r="AD14" s="107">
        <f t="shared" si="16"/>
        <v>6.4919951228160002</v>
      </c>
      <c r="AE14" s="107">
        <f t="shared" si="16"/>
        <v>4.7248223718996778</v>
      </c>
      <c r="AF14" s="107"/>
      <c r="AG14" s="107">
        <f t="shared" ref="AG14:AG23" si="17">12*2</f>
        <v>24</v>
      </c>
      <c r="AH14" s="107">
        <f>AH13*(1+$B$3)</f>
        <v>11.423999999999999</v>
      </c>
      <c r="AI14" s="107"/>
      <c r="AJ14" s="117">
        <f>理財目標費用終值!D13*(1+B3)</f>
        <v>87.036201587625655</v>
      </c>
      <c r="AK14" s="107"/>
      <c r="AL14" s="107">
        <f t="shared" si="5"/>
        <v>216.17229423004039</v>
      </c>
      <c r="AM14" s="110">
        <f t="shared" si="0"/>
        <v>-50.657265839578997</v>
      </c>
      <c r="AN14" s="110">
        <f t="shared" si="6"/>
        <v>-66.465124323685998</v>
      </c>
      <c r="AO14" s="107"/>
      <c r="AP14" s="112">
        <f t="shared" si="7"/>
        <v>4.0285327591986739</v>
      </c>
      <c r="AQ14" s="112">
        <f t="shared" si="12"/>
        <v>2.7503999999999995</v>
      </c>
      <c r="AR14" s="112">
        <f t="shared" si="8"/>
        <v>187.47508261472814</v>
      </c>
      <c r="AS14" s="112">
        <f t="shared" si="9"/>
        <v>175.64372598058188</v>
      </c>
      <c r="AT14" s="112">
        <f t="shared" ref="AT14:AT27" si="18">AT13*(1+$B$7)</f>
        <v>151.89081126301556</v>
      </c>
    </row>
    <row r="15" spans="1:46" x14ac:dyDescent="0.3">
      <c r="A15" s="40"/>
      <c r="B15" s="55"/>
      <c r="C15" s="40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40"/>
      <c r="J15" s="107">
        <f t="shared" si="14"/>
        <v>-66.465124323685998</v>
      </c>
      <c r="K15" s="107">
        <v>0.04</v>
      </c>
      <c r="L15" s="107">
        <f t="shared" si="1"/>
        <v>68.485056906377466</v>
      </c>
      <c r="M15" s="107">
        <f t="shared" si="13"/>
        <v>93.716141119886601</v>
      </c>
      <c r="N15" s="107">
        <v>4</v>
      </c>
      <c r="O15" s="107">
        <f t="shared" si="11"/>
        <v>6.3412089728127272</v>
      </c>
      <c r="P15" s="107"/>
      <c r="Q15" s="107"/>
      <c r="R15" s="107"/>
      <c r="S15" s="107"/>
      <c r="T15" s="107"/>
      <c r="U15" s="107">
        <f t="shared" si="2"/>
        <v>172.5424069990768</v>
      </c>
      <c r="V15" s="107">
        <v>38.4</v>
      </c>
      <c r="W15" s="107">
        <v>7</v>
      </c>
      <c r="X15" s="107"/>
      <c r="Y15" s="107">
        <v>5</v>
      </c>
      <c r="Z15" s="107">
        <f t="shared" ref="Z15:Z27" si="19">Z14*(1+$B$3)</f>
        <v>14.457956458013021</v>
      </c>
      <c r="AA15" s="107">
        <v>4.08</v>
      </c>
      <c r="AB15" s="107">
        <v>7.5</v>
      </c>
      <c r="AC15" s="107">
        <v>7.6</v>
      </c>
      <c r="AD15" s="107">
        <v>6.88</v>
      </c>
      <c r="AE15" s="107">
        <f t="shared" si="16"/>
        <v>4.8193188193376715</v>
      </c>
      <c r="AF15" s="107"/>
      <c r="AG15" s="107">
        <f t="shared" si="17"/>
        <v>24</v>
      </c>
      <c r="AH15" s="107">
        <v>12.2</v>
      </c>
      <c r="AI15" s="107"/>
      <c r="AJ15" s="125"/>
      <c r="AK15" s="107"/>
      <c r="AL15" s="107">
        <f t="shared" si="5"/>
        <v>131.93727527735066</v>
      </c>
      <c r="AM15" s="110">
        <f t="shared" si="0"/>
        <v>40.605131721726138</v>
      </c>
      <c r="AN15" s="110">
        <f t="shared" si="6"/>
        <v>-25.85999260195986</v>
      </c>
      <c r="AO15" s="107"/>
      <c r="AP15" s="112">
        <f t="shared" si="7"/>
        <v>4.1091034143826475</v>
      </c>
      <c r="AQ15" s="112">
        <f t="shared" si="12"/>
        <v>2.7503999999999995</v>
      </c>
      <c r="AR15" s="112">
        <f t="shared" si="8"/>
        <v>199.08318933369992</v>
      </c>
      <c r="AS15" s="112">
        <f t="shared" si="9"/>
        <v>185.41987501980518</v>
      </c>
      <c r="AT15" s="112">
        <f t="shared" si="18"/>
        <v>157.96644371353619</v>
      </c>
    </row>
    <row r="16" spans="1:46" x14ac:dyDescent="0.3">
      <c r="A16" s="40"/>
      <c r="B16" s="40"/>
      <c r="C16" s="40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40"/>
      <c r="J16" s="107">
        <f t="shared" si="14"/>
        <v>-25.85999260195986</v>
      </c>
      <c r="K16" s="107">
        <v>0.04</v>
      </c>
      <c r="L16" s="107">
        <f t="shared" si="1"/>
        <v>69.854758044505019</v>
      </c>
      <c r="M16" s="107">
        <f t="shared" si="13"/>
        <v>94.653302531085473</v>
      </c>
      <c r="N16" s="107">
        <f t="shared" ref="N16:N53" si="20">J16*K16</f>
        <v>-1.0343997040783943</v>
      </c>
      <c r="O16" s="107">
        <f t="shared" si="11"/>
        <v>6.4680331522689816</v>
      </c>
      <c r="P16" s="107"/>
      <c r="Q16" s="107"/>
      <c r="R16" s="107"/>
      <c r="S16" s="107"/>
      <c r="T16" s="107"/>
      <c r="U16" s="107">
        <f t="shared" si="2"/>
        <v>169.94169402378108</v>
      </c>
      <c r="V16" s="107">
        <v>38.4</v>
      </c>
      <c r="W16" s="107">
        <f>W15*(1+$B$3)</f>
        <v>7.1400000000000006</v>
      </c>
      <c r="X16" s="107"/>
      <c r="Y16" s="107">
        <f>Y15*(1+$B$3)</f>
        <v>5.0999999999999996</v>
      </c>
      <c r="Z16" s="107">
        <f t="shared" si="19"/>
        <v>14.747115587173282</v>
      </c>
      <c r="AA16" s="107">
        <v>4.08</v>
      </c>
      <c r="AB16" s="107">
        <v>7.8</v>
      </c>
      <c r="AC16" s="107">
        <v>7.6</v>
      </c>
      <c r="AD16" s="107">
        <f>AD15*(1+$B$3)</f>
        <v>7.0175999999999998</v>
      </c>
      <c r="AE16" s="107">
        <f t="shared" si="16"/>
        <v>4.9157051957244251</v>
      </c>
      <c r="AF16" s="107"/>
      <c r="AG16" s="107">
        <f t="shared" si="17"/>
        <v>24</v>
      </c>
      <c r="AH16" s="107">
        <f>AH15*(1+$B$3)</f>
        <v>12.443999999999999</v>
      </c>
      <c r="AI16" s="107"/>
      <c r="AJ16" s="117"/>
      <c r="AK16" s="107"/>
      <c r="AL16" s="107">
        <f t="shared" si="5"/>
        <v>133.24442078289769</v>
      </c>
      <c r="AM16" s="110">
        <f t="shared" si="0"/>
        <v>36.697273240883391</v>
      </c>
      <c r="AN16" s="110">
        <f t="shared" si="6"/>
        <v>10.837280638923531</v>
      </c>
      <c r="AO16" s="107"/>
      <c r="AP16" s="112">
        <f t="shared" si="7"/>
        <v>4.1912854826703008</v>
      </c>
      <c r="AQ16" s="112">
        <f t="shared" si="12"/>
        <v>2.7503999999999995</v>
      </c>
      <c r="AR16" s="112">
        <f t="shared" si="8"/>
        <v>211.23780238971824</v>
      </c>
      <c r="AS16" s="112">
        <f t="shared" si="9"/>
        <v>195.58707002059739</v>
      </c>
      <c r="AT16" s="112">
        <f t="shared" si="18"/>
        <v>164.28510146207765</v>
      </c>
    </row>
    <row r="17" spans="1:46" x14ac:dyDescent="0.3">
      <c r="A17" s="40"/>
      <c r="B17" s="55"/>
      <c r="C17" s="40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40"/>
      <c r="J17" s="107">
        <f t="shared" si="14"/>
        <v>10.837280638923531</v>
      </c>
      <c r="K17" s="107">
        <v>0.04</v>
      </c>
      <c r="L17" s="107">
        <f t="shared" si="1"/>
        <v>71.251853205395122</v>
      </c>
      <c r="M17" s="107">
        <f t="shared" si="13"/>
        <v>95.599835556396329</v>
      </c>
      <c r="N17" s="107">
        <f t="shared" si="20"/>
        <v>0.43349122555694125</v>
      </c>
      <c r="O17" s="107">
        <f t="shared" si="11"/>
        <v>6.5973938153143612</v>
      </c>
      <c r="P17" s="107"/>
      <c r="Q17" s="107"/>
      <c r="R17" s="107"/>
      <c r="S17" s="107"/>
      <c r="T17" s="107"/>
      <c r="U17" s="107">
        <f t="shared" si="2"/>
        <v>173.88257380266273</v>
      </c>
      <c r="V17" s="107">
        <v>38.4</v>
      </c>
      <c r="W17" s="107">
        <f t="shared" si="15"/>
        <v>7.2828000000000008</v>
      </c>
      <c r="X17" s="107"/>
      <c r="Y17" s="107">
        <f>Y16*(1+$B$3)</f>
        <v>5.202</v>
      </c>
      <c r="Z17" s="107">
        <f t="shared" si="19"/>
        <v>15.042057898916747</v>
      </c>
      <c r="AA17" s="107">
        <v>4.08</v>
      </c>
      <c r="AB17" s="107">
        <v>8</v>
      </c>
      <c r="AC17" s="107">
        <v>7.6</v>
      </c>
      <c r="AD17" s="107">
        <f>AD16*(1+$B$3)</f>
        <v>7.1579519999999999</v>
      </c>
      <c r="AE17" s="107">
        <f t="shared" si="16"/>
        <v>5.0140192996389139</v>
      </c>
      <c r="AF17" s="107"/>
      <c r="AG17" s="107">
        <f t="shared" si="17"/>
        <v>24</v>
      </c>
      <c r="AH17" s="107">
        <v>13.2</v>
      </c>
      <c r="AI17" s="107"/>
      <c r="AJ17" s="117"/>
      <c r="AK17" s="107"/>
      <c r="AL17" s="107">
        <f t="shared" si="5"/>
        <v>134.97882919855564</v>
      </c>
      <c r="AM17" s="110">
        <f t="shared" si="0"/>
        <v>38.903744604107089</v>
      </c>
      <c r="AN17" s="110">
        <f t="shared" si="6"/>
        <v>49.74102524303062</v>
      </c>
      <c r="AO17" s="107"/>
      <c r="AP17" s="112">
        <f t="shared" si="7"/>
        <v>4.2751111923237071</v>
      </c>
      <c r="AQ17" s="112">
        <f t="shared" si="12"/>
        <v>2.7503999999999995</v>
      </c>
      <c r="AR17" s="112">
        <f t="shared" si="8"/>
        <v>223.9624256776307</v>
      </c>
      <c r="AS17" s="112">
        <f t="shared" si="9"/>
        <v>206.16095282142132</v>
      </c>
      <c r="AT17" s="112">
        <f t="shared" si="18"/>
        <v>170.85650552056077</v>
      </c>
    </row>
    <row r="18" spans="1:46" x14ac:dyDescent="0.3">
      <c r="A18" s="40"/>
      <c r="B18" s="55"/>
      <c r="C18" s="40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40"/>
      <c r="J18" s="107">
        <f t="shared" si="14"/>
        <v>49.74102524303062</v>
      </c>
      <c r="K18" s="107">
        <v>0.04</v>
      </c>
      <c r="L18" s="107">
        <f t="shared" si="1"/>
        <v>72.676890269503019</v>
      </c>
      <c r="M18" s="107">
        <f t="shared" si="13"/>
        <v>96.555833911960292</v>
      </c>
      <c r="N18" s="107">
        <f t="shared" si="20"/>
        <v>1.9896410097212249</v>
      </c>
      <c r="O18" s="107">
        <f t="shared" si="11"/>
        <v>6.7293416916206485</v>
      </c>
      <c r="P18" s="107"/>
      <c r="Q18" s="107"/>
      <c r="R18" s="107"/>
      <c r="S18" s="107"/>
      <c r="T18" s="107"/>
      <c r="U18" s="107">
        <f t="shared" si="2"/>
        <v>177.95170688280518</v>
      </c>
      <c r="V18" s="107">
        <v>38.4</v>
      </c>
      <c r="W18" s="107">
        <f t="shared" si="15"/>
        <v>7.4284560000000006</v>
      </c>
      <c r="X18" s="107"/>
      <c r="Y18" s="107">
        <f>Y17*(1+$B$3)</f>
        <v>5.3060400000000003</v>
      </c>
      <c r="Z18" s="107">
        <f t="shared" si="19"/>
        <v>15.342899056895082</v>
      </c>
      <c r="AA18" s="107">
        <v>4.08</v>
      </c>
      <c r="AB18" s="107">
        <v>8.3000000000000007</v>
      </c>
      <c r="AC18" s="107">
        <v>7.6</v>
      </c>
      <c r="AD18" s="107">
        <f>AD17*(1+$B$3)</f>
        <v>7.3011110400000003</v>
      </c>
      <c r="AE18" s="107">
        <f t="shared" si="16"/>
        <v>5.1142996856316927</v>
      </c>
      <c r="AF18" s="107"/>
      <c r="AG18" s="107">
        <f t="shared" si="17"/>
        <v>24</v>
      </c>
      <c r="AH18" s="107">
        <f>AH17*(1+$B$3)</f>
        <v>13.463999999999999</v>
      </c>
      <c r="AI18" s="107"/>
      <c r="AJ18" s="117"/>
      <c r="AK18" s="107"/>
      <c r="AL18" s="107">
        <f t="shared" si="5"/>
        <v>136.33680578252677</v>
      </c>
      <c r="AM18" s="110">
        <f t="shared" si="0"/>
        <v>41.614901100278416</v>
      </c>
      <c r="AN18" s="110">
        <f t="shared" si="6"/>
        <v>91.355926343309036</v>
      </c>
      <c r="AO18" s="107"/>
      <c r="AP18" s="112">
        <f t="shared" si="7"/>
        <v>4.3606134161701808</v>
      </c>
      <c r="AQ18" s="112">
        <f t="shared" si="12"/>
        <v>2.7503999999999995</v>
      </c>
      <c r="AR18" s="112">
        <f t="shared" si="8"/>
        <v>237.28153612090611</v>
      </c>
      <c r="AS18" s="112">
        <f t="shared" si="9"/>
        <v>217.15779093427818</v>
      </c>
      <c r="AT18" s="112">
        <f t="shared" si="18"/>
        <v>177.69076574138322</v>
      </c>
    </row>
    <row r="19" spans="1:46" x14ac:dyDescent="0.3">
      <c r="A19" s="40"/>
      <c r="B19" s="55"/>
      <c r="C19" s="40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40"/>
      <c r="J19" s="107">
        <f t="shared" si="14"/>
        <v>91.355926343309036</v>
      </c>
      <c r="K19" s="107">
        <v>0.04</v>
      </c>
      <c r="L19" s="107">
        <f t="shared" si="1"/>
        <v>74.130428074893075</v>
      </c>
      <c r="M19" s="107">
        <f t="shared" si="13"/>
        <v>97.521392251079902</v>
      </c>
      <c r="N19" s="107">
        <f t="shared" si="20"/>
        <v>3.6542370537323614</v>
      </c>
      <c r="O19" s="107">
        <f t="shared" si="11"/>
        <v>6.863928525453062</v>
      </c>
      <c r="P19" s="107"/>
      <c r="Q19" s="107"/>
      <c r="R19" s="107"/>
      <c r="S19" s="107"/>
      <c r="T19" s="107"/>
      <c r="U19" s="107">
        <f t="shared" si="2"/>
        <v>182.1699859051584</v>
      </c>
      <c r="V19" s="107"/>
      <c r="W19" s="107">
        <f t="shared" si="15"/>
        <v>7.5770251200000009</v>
      </c>
      <c r="X19" s="107"/>
      <c r="Y19" s="107">
        <f>Y18*(1+$B$3)</f>
        <v>5.4121608000000005</v>
      </c>
      <c r="Z19" s="107">
        <f t="shared" si="19"/>
        <v>15.649757038032984</v>
      </c>
      <c r="AA19" s="107">
        <v>4.08</v>
      </c>
      <c r="AB19" s="107">
        <v>8.5</v>
      </c>
      <c r="AC19" s="107">
        <v>7.6</v>
      </c>
      <c r="AD19" s="107">
        <f>AD18*(1+$B$3)</f>
        <v>7.4471332608000003</v>
      </c>
      <c r="AE19" s="107">
        <f t="shared" si="16"/>
        <v>5.2165856793443268</v>
      </c>
      <c r="AF19" s="107"/>
      <c r="AG19" s="107">
        <f t="shared" si="17"/>
        <v>24</v>
      </c>
      <c r="AH19" s="107">
        <v>14.2</v>
      </c>
      <c r="AI19" s="107"/>
      <c r="AJ19" s="117"/>
      <c r="AK19" s="107"/>
      <c r="AL19" s="107">
        <f t="shared" si="5"/>
        <v>99.682661898177315</v>
      </c>
      <c r="AM19" s="110">
        <f t="shared" si="0"/>
        <v>82.487324006981083</v>
      </c>
      <c r="AN19" s="110">
        <f t="shared" si="6"/>
        <v>173.84325035029013</v>
      </c>
      <c r="AO19" s="107"/>
      <c r="AP19" s="112">
        <f t="shared" si="7"/>
        <v>4.4478256844935844</v>
      </c>
      <c r="AQ19" s="112">
        <f t="shared" si="12"/>
        <v>2.7503999999999995</v>
      </c>
      <c r="AR19" s="112">
        <f t="shared" si="8"/>
        <v>251.22062325023595</v>
      </c>
      <c r="AS19" s="112">
        <f t="shared" si="9"/>
        <v>228.59450257164934</v>
      </c>
      <c r="AT19" s="112">
        <f t="shared" si="18"/>
        <v>184.79839637103856</v>
      </c>
    </row>
    <row r="20" spans="1:46" x14ac:dyDescent="0.3">
      <c r="A20" s="40"/>
      <c r="B20" s="55"/>
      <c r="C20" s="40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40"/>
      <c r="J20" s="107">
        <f t="shared" si="14"/>
        <v>173.84325035029013</v>
      </c>
      <c r="K20" s="107">
        <v>0.04</v>
      </c>
      <c r="L20" s="107">
        <f t="shared" si="1"/>
        <v>75.613036636390945</v>
      </c>
      <c r="M20" s="107">
        <f t="shared" si="13"/>
        <v>98.496606173590706</v>
      </c>
      <c r="N20" s="107">
        <f t="shared" si="20"/>
        <v>6.9537300140116054</v>
      </c>
      <c r="O20" s="107">
        <f t="shared" si="11"/>
        <v>7.0012070959621235</v>
      </c>
      <c r="P20" s="107"/>
      <c r="Q20" s="107"/>
      <c r="R20" s="107"/>
      <c r="S20" s="107"/>
      <c r="T20" s="107"/>
      <c r="U20" s="107">
        <f t="shared" si="2"/>
        <v>188.06457991995538</v>
      </c>
      <c r="V20" s="107"/>
      <c r="W20" s="107">
        <f t="shared" si="15"/>
        <v>7.7285656224000014</v>
      </c>
      <c r="X20" s="107"/>
      <c r="Y20" s="107">
        <f>Y19*(1+$B$3)</f>
        <v>5.5204040160000005</v>
      </c>
      <c r="Z20" s="107">
        <f t="shared" si="19"/>
        <v>15.962752178793645</v>
      </c>
      <c r="AA20" s="107">
        <v>4.08</v>
      </c>
      <c r="AB20" s="107">
        <v>8.8000000000000007</v>
      </c>
      <c r="AC20" s="107">
        <v>7.6</v>
      </c>
      <c r="AD20" s="107">
        <f>AD19*(1+$B$3)</f>
        <v>7.5960759260160007</v>
      </c>
      <c r="AE20" s="107">
        <f t="shared" si="16"/>
        <v>5.3209173929312135</v>
      </c>
      <c r="AF20" s="107"/>
      <c r="AG20" s="107">
        <f t="shared" si="17"/>
        <v>24</v>
      </c>
      <c r="AH20" s="107">
        <f>AH19*(1+$B$3)</f>
        <v>14.484</v>
      </c>
      <c r="AI20" s="107"/>
      <c r="AJ20" s="117"/>
      <c r="AK20" s="107"/>
      <c r="AL20" s="107">
        <f t="shared" si="5"/>
        <v>101.09271513614085</v>
      </c>
      <c r="AM20" s="110">
        <f t="shared" si="0"/>
        <v>86.971864783814524</v>
      </c>
      <c r="AN20" s="110">
        <f t="shared" si="6"/>
        <v>260.81511513410464</v>
      </c>
      <c r="AO20" s="107"/>
      <c r="AP20" s="112">
        <f t="shared" si="7"/>
        <v>4.5367821981834568</v>
      </c>
      <c r="AQ20" s="112">
        <f t="shared" si="12"/>
        <v>2.7503999999999995</v>
      </c>
      <c r="AR20" s="112">
        <f t="shared" si="8"/>
        <v>265.80623037842884</v>
      </c>
      <c r="AS20" s="112">
        <f t="shared" si="9"/>
        <v>240.48868267451533</v>
      </c>
      <c r="AT20" s="112">
        <f t="shared" si="18"/>
        <v>192.19033222588013</v>
      </c>
    </row>
    <row r="21" spans="1:46" x14ac:dyDescent="0.3">
      <c r="A21" s="40"/>
      <c r="B21" s="55"/>
      <c r="C21" s="40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40"/>
      <c r="J21" s="107">
        <f t="shared" si="14"/>
        <v>260.81511513410464</v>
      </c>
      <c r="K21" s="107">
        <v>0.04</v>
      </c>
      <c r="L21" s="107">
        <f t="shared" si="1"/>
        <v>77.125297369118769</v>
      </c>
      <c r="M21" s="107">
        <f t="shared" si="13"/>
        <v>99.48157223532661</v>
      </c>
      <c r="N21" s="107">
        <f t="shared" si="20"/>
        <v>10.432604605364187</v>
      </c>
      <c r="O21" s="107">
        <f t="shared" si="11"/>
        <v>7.1412312378813665</v>
      </c>
      <c r="P21" s="107"/>
      <c r="Q21" s="107"/>
      <c r="R21" s="107"/>
      <c r="S21" s="107"/>
      <c r="T21" s="107"/>
      <c r="U21" s="107">
        <f t="shared" si="2"/>
        <v>194.18070544769091</v>
      </c>
      <c r="V21" s="107"/>
      <c r="W21" s="107">
        <v>8</v>
      </c>
      <c r="X21" s="107"/>
      <c r="Y21" s="107">
        <v>6</v>
      </c>
      <c r="Z21" s="107">
        <f t="shared" si="19"/>
        <v>16.282007222369518</v>
      </c>
      <c r="AA21" s="107">
        <v>4.08</v>
      </c>
      <c r="AB21" s="107">
        <v>9.1</v>
      </c>
      <c r="AC21" s="107">
        <v>7.6</v>
      </c>
      <c r="AD21" s="107">
        <v>7.88</v>
      </c>
      <c r="AE21" s="107">
        <f t="shared" si="16"/>
        <v>5.4273357407898377</v>
      </c>
      <c r="AF21" s="107"/>
      <c r="AG21" s="107">
        <f t="shared" si="17"/>
        <v>24</v>
      </c>
      <c r="AH21" s="107">
        <v>15.2</v>
      </c>
      <c r="AI21" s="107"/>
      <c r="AJ21" s="117"/>
      <c r="AK21" s="107"/>
      <c r="AL21" s="107">
        <f t="shared" si="5"/>
        <v>103.56934296315937</v>
      </c>
      <c r="AM21" s="110">
        <f t="shared" si="0"/>
        <v>90.61136248453154</v>
      </c>
      <c r="AN21" s="110">
        <f t="shared" si="6"/>
        <v>351.42647761863617</v>
      </c>
      <c r="AO21" s="107"/>
      <c r="AP21" s="112">
        <f t="shared" si="7"/>
        <v>4.6275178421471264</v>
      </c>
      <c r="AQ21" s="112">
        <f t="shared" si="12"/>
        <v>2.7503999999999995</v>
      </c>
      <c r="AR21" s="112">
        <f t="shared" si="8"/>
        <v>281.06599743571314</v>
      </c>
      <c r="AS21" s="112">
        <f t="shared" si="9"/>
        <v>252.85862998149597</v>
      </c>
      <c r="AT21" s="112">
        <f t="shared" si="18"/>
        <v>199.87794551491533</v>
      </c>
    </row>
    <row r="22" spans="1:46" x14ac:dyDescent="0.3">
      <c r="A22" s="40"/>
      <c r="B22" s="55"/>
      <c r="C22" s="40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J22" s="107">
        <f t="shared" si="14"/>
        <v>351.42647761863617</v>
      </c>
      <c r="K22" s="107">
        <v>0.04</v>
      </c>
      <c r="L22" s="107">
        <f t="shared" si="1"/>
        <v>78.66780331650115</v>
      </c>
      <c r="M22" s="107">
        <f t="shared" si="13"/>
        <v>100.47638795767988</v>
      </c>
      <c r="N22" s="107">
        <f t="shared" si="20"/>
        <v>14.057059104745447</v>
      </c>
      <c r="O22" s="107">
        <f t="shared" si="11"/>
        <v>7.2840558626389935</v>
      </c>
      <c r="P22" s="107"/>
      <c r="Q22" s="107"/>
      <c r="R22" s="107"/>
      <c r="S22" s="107"/>
      <c r="T22" s="107"/>
      <c r="U22" s="107">
        <f t="shared" si="2"/>
        <v>200.48530624156547</v>
      </c>
      <c r="V22" s="107"/>
      <c r="W22" s="107">
        <f>W21*(1+$B$3)</f>
        <v>8.16</v>
      </c>
      <c r="X22" s="107"/>
      <c r="Y22" s="107">
        <f>Y21*(1+$B$3)</f>
        <v>6.12</v>
      </c>
      <c r="Z22" s="107">
        <f t="shared" si="19"/>
        <v>16.607647366816909</v>
      </c>
      <c r="AA22" s="107">
        <v>4.08</v>
      </c>
      <c r="AB22" s="107">
        <v>9.4</v>
      </c>
      <c r="AC22" s="107">
        <v>7.6</v>
      </c>
      <c r="AD22" s="107">
        <f>AD21*(1+$B$3)</f>
        <v>8.0375999999999994</v>
      </c>
      <c r="AE22" s="107">
        <f t="shared" si="16"/>
        <v>5.535882455605635</v>
      </c>
      <c r="AF22" s="107"/>
      <c r="AG22" s="107">
        <f t="shared" si="17"/>
        <v>24</v>
      </c>
      <c r="AH22" s="107">
        <f>AH21*(1+$B$3)</f>
        <v>15.504</v>
      </c>
      <c r="AI22" s="107"/>
      <c r="AJ22" s="117"/>
      <c r="AK22" s="107"/>
      <c r="AL22" s="107">
        <f t="shared" si="5"/>
        <v>105.04512982242255</v>
      </c>
      <c r="AM22" s="110">
        <f t="shared" si="0"/>
        <v>95.440176419142915</v>
      </c>
      <c r="AN22" s="110">
        <f t="shared" si="6"/>
        <v>446.86665403777909</v>
      </c>
      <c r="AO22" s="107"/>
      <c r="AP22" s="112">
        <f t="shared" si="7"/>
        <v>4.7200681989900692</v>
      </c>
      <c r="AQ22" s="112">
        <f t="shared" si="12"/>
        <v>2.7503999999999995</v>
      </c>
      <c r="AR22" s="112">
        <f t="shared" si="8"/>
        <v>297.02870553213177</v>
      </c>
      <c r="AS22" s="112">
        <f t="shared" si="9"/>
        <v>265.72337518075585</v>
      </c>
      <c r="AT22" s="112">
        <f t="shared" si="18"/>
        <v>207.87306333551194</v>
      </c>
    </row>
    <row r="23" spans="1:46" x14ac:dyDescent="0.3">
      <c r="A23" s="40"/>
      <c r="B23" s="55"/>
      <c r="C23" s="40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40" t="s">
        <v>137</v>
      </c>
      <c r="J23" s="107">
        <f t="shared" si="14"/>
        <v>446.86665403777909</v>
      </c>
      <c r="K23" s="107">
        <v>0.04</v>
      </c>
      <c r="L23" s="107">
        <f t="shared" si="1"/>
        <v>80.241159382831171</v>
      </c>
      <c r="M23" s="107">
        <f t="shared" si="13"/>
        <v>101.48115183725668</v>
      </c>
      <c r="N23" s="107">
        <f t="shared" si="20"/>
        <v>17.874666161511165</v>
      </c>
      <c r="O23" s="107">
        <f t="shared" si="11"/>
        <v>7.4297369798917732</v>
      </c>
      <c r="P23" s="107"/>
      <c r="Q23" s="107"/>
      <c r="R23" s="107"/>
      <c r="S23" s="107"/>
      <c r="T23" s="107"/>
      <c r="U23" s="107">
        <f t="shared" si="2"/>
        <v>207.02671436149078</v>
      </c>
      <c r="V23" s="107"/>
      <c r="W23" s="107">
        <f t="shared" si="15"/>
        <v>8.3231999999999999</v>
      </c>
      <c r="X23" s="107"/>
      <c r="Y23" s="107">
        <f>Y22*(1+$B$3)</f>
        <v>6.2423999999999999</v>
      </c>
      <c r="Z23" s="107">
        <f t="shared" si="19"/>
        <v>16.939800314153249</v>
      </c>
      <c r="AA23" s="107">
        <v>4.08</v>
      </c>
      <c r="AB23" s="107">
        <v>9.6999999999999993</v>
      </c>
      <c r="AC23" s="107">
        <v>7.6</v>
      </c>
      <c r="AD23" s="107">
        <f>AD22*(1+$B$3)</f>
        <v>8.1983519999999999</v>
      </c>
      <c r="AE23" s="107">
        <f t="shared" si="16"/>
        <v>5.6466001047177476</v>
      </c>
      <c r="AF23" s="107"/>
      <c r="AG23" s="107">
        <f t="shared" si="17"/>
        <v>24</v>
      </c>
      <c r="AH23" s="107">
        <v>16.2</v>
      </c>
      <c r="AI23" s="107"/>
      <c r="AJ23" s="117">
        <f>理財目標費用終值!D14</f>
        <v>104.0163177184848</v>
      </c>
      <c r="AK23" s="107"/>
      <c r="AL23" s="107">
        <f t="shared" si="5"/>
        <v>210.9466701373558</v>
      </c>
      <c r="AM23" s="110">
        <f t="shared" si="0"/>
        <v>-3.9199557758650201</v>
      </c>
      <c r="AN23" s="110">
        <f t="shared" si="6"/>
        <v>442.94669826191409</v>
      </c>
      <c r="AO23" s="107"/>
      <c r="AP23" s="112">
        <f t="shared" si="7"/>
        <v>4.8144695629698697</v>
      </c>
      <c r="AQ23" s="112">
        <f t="shared" si="12"/>
        <v>2.7503999999999995</v>
      </c>
      <c r="AR23" s="112">
        <f t="shared" si="8"/>
        <v>313.72432331638691</v>
      </c>
      <c r="AS23" s="112">
        <f t="shared" si="9"/>
        <v>279.10271018798613</v>
      </c>
      <c r="AT23" s="112">
        <f t="shared" si="18"/>
        <v>216.18798586893243</v>
      </c>
    </row>
    <row r="24" spans="1:46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J24" s="107">
        <f t="shared" si="14"/>
        <v>442.94669826191409</v>
      </c>
      <c r="K24" s="107">
        <v>0.04</v>
      </c>
      <c r="L24" s="107">
        <f t="shared" si="1"/>
        <v>81.845982570487791</v>
      </c>
      <c r="M24" s="107">
        <f t="shared" si="13"/>
        <v>102.49596335562924</v>
      </c>
      <c r="N24" s="107">
        <f t="shared" si="20"/>
        <v>17.717867930476565</v>
      </c>
      <c r="O24" s="107">
        <f t="shared" si="11"/>
        <v>7.5783317194896087</v>
      </c>
      <c r="P24" s="107"/>
      <c r="Q24" s="107"/>
      <c r="R24" s="107"/>
      <c r="S24" s="112"/>
      <c r="T24" s="112"/>
      <c r="U24" s="107">
        <f t="shared" si="2"/>
        <v>209.63814557608319</v>
      </c>
      <c r="V24" s="112"/>
      <c r="W24" s="107">
        <f t="shared" si="15"/>
        <v>8.4896639999999994</v>
      </c>
      <c r="X24" s="112"/>
      <c r="Y24" s="107">
        <f>Y23*(1+$B$3)</f>
        <v>6.367248</v>
      </c>
      <c r="Z24" s="107">
        <f t="shared" si="19"/>
        <v>17.278596320436314</v>
      </c>
      <c r="AA24" s="107">
        <v>4.08</v>
      </c>
      <c r="AB24" s="107">
        <v>10</v>
      </c>
      <c r="AC24" s="107">
        <v>6.4</v>
      </c>
      <c r="AD24" s="107">
        <f>AD23*(1+$B$3)</f>
        <v>8.3623190399999991</v>
      </c>
      <c r="AE24" s="107">
        <f t="shared" si="16"/>
        <v>5.7595321068121024</v>
      </c>
      <c r="AF24" s="112"/>
      <c r="AG24" s="107"/>
      <c r="AH24" s="112"/>
      <c r="AI24" s="112"/>
      <c r="AJ24" s="112"/>
      <c r="AK24" s="112"/>
      <c r="AL24" s="107">
        <f t="shared" si="5"/>
        <v>66.73735946724841</v>
      </c>
      <c r="AM24" s="110">
        <f t="shared" si="0"/>
        <v>142.90078610883478</v>
      </c>
      <c r="AN24" s="110">
        <f t="shared" si="6"/>
        <v>585.84748437074882</v>
      </c>
      <c r="AO24" s="112"/>
      <c r="AP24" s="112">
        <f t="shared" si="7"/>
        <v>4.9107589542292676</v>
      </c>
      <c r="AQ24" s="112">
        <f t="shared" si="12"/>
        <v>2.7503999999999995</v>
      </c>
      <c r="AR24" s="112">
        <f t="shared" si="8"/>
        <v>331.18405520327167</v>
      </c>
      <c r="AS24" s="112">
        <f t="shared" si="9"/>
        <v>293.0172185955056</v>
      </c>
      <c r="AT24" s="112">
        <f t="shared" si="18"/>
        <v>224.83550530368973</v>
      </c>
    </row>
    <row r="25" spans="1:46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J25" s="107">
        <f t="shared" si="14"/>
        <v>585.84748437074882</v>
      </c>
      <c r="K25" s="107">
        <v>0.04</v>
      </c>
      <c r="L25" s="107">
        <f t="shared" si="1"/>
        <v>83.482902221897547</v>
      </c>
      <c r="M25" s="107">
        <f t="shared" si="13"/>
        <v>103.52092298918554</v>
      </c>
      <c r="N25" s="107">
        <f t="shared" si="20"/>
        <v>23.433899374829952</v>
      </c>
      <c r="O25" s="107">
        <f t="shared" si="11"/>
        <v>7.7298983538794008</v>
      </c>
      <c r="P25" s="107"/>
      <c r="Q25" s="107"/>
      <c r="R25" s="107"/>
      <c r="S25" s="112"/>
      <c r="T25" s="112"/>
      <c r="U25" s="107">
        <f t="shared" si="2"/>
        <v>218.16762293979247</v>
      </c>
      <c r="V25" s="112"/>
      <c r="W25" s="107">
        <f t="shared" si="15"/>
        <v>8.6594572799999998</v>
      </c>
      <c r="X25" s="112"/>
      <c r="Y25" s="107">
        <f>Y24*(1+$B$3)</f>
        <v>6.4945929600000003</v>
      </c>
      <c r="Z25" s="107">
        <f t="shared" si="19"/>
        <v>17.624168246845041</v>
      </c>
      <c r="AA25" s="107">
        <v>4.08</v>
      </c>
      <c r="AB25" s="107">
        <v>10.3</v>
      </c>
      <c r="AC25" s="107">
        <v>6.4</v>
      </c>
      <c r="AD25" s="107">
        <f>AD24*(1+$B$3)</f>
        <v>8.5295654207999991</v>
      </c>
      <c r="AE25" s="107">
        <f t="shared" si="16"/>
        <v>5.8747227489483445</v>
      </c>
      <c r="AF25" s="112"/>
      <c r="AG25" s="112"/>
      <c r="AH25" s="112"/>
      <c r="AI25" s="112"/>
      <c r="AJ25" s="112"/>
      <c r="AK25" s="112"/>
      <c r="AL25" s="107">
        <f t="shared" si="5"/>
        <v>67.962506656593391</v>
      </c>
      <c r="AM25" s="110">
        <f t="shared" si="0"/>
        <v>150.20511628319906</v>
      </c>
      <c r="AN25" s="110">
        <f t="shared" si="6"/>
        <v>736.05260065394782</v>
      </c>
      <c r="AO25" s="112"/>
      <c r="AP25" s="112">
        <f t="shared" si="7"/>
        <v>5.0089741333138527</v>
      </c>
      <c r="AQ25" s="112">
        <f t="shared" si="12"/>
        <v>2.7503999999999995</v>
      </c>
      <c r="AR25" s="112">
        <f t="shared" si="8"/>
        <v>349.44039154471642</v>
      </c>
      <c r="AS25" s="112">
        <f t="shared" si="9"/>
        <v>307.48830733932584</v>
      </c>
      <c r="AT25" s="112">
        <f t="shared" si="18"/>
        <v>233.82892551583731</v>
      </c>
    </row>
    <row r="26" spans="1:46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J26" s="107">
        <f t="shared" si="14"/>
        <v>736.05260065394782</v>
      </c>
      <c r="K26" s="107">
        <v>0.04</v>
      </c>
      <c r="L26" s="107">
        <f t="shared" si="1"/>
        <v>85.152560266335499</v>
      </c>
      <c r="M26" s="107">
        <f t="shared" si="13"/>
        <v>104.5561322190774</v>
      </c>
      <c r="N26" s="107">
        <f t="shared" si="20"/>
        <v>29.442104026157914</v>
      </c>
      <c r="O26" s="107">
        <f t="shared" si="11"/>
        <v>7.8844963209569894</v>
      </c>
      <c r="P26" s="107"/>
      <c r="Q26" s="107"/>
      <c r="R26" s="107"/>
      <c r="S26" s="112"/>
      <c r="T26" s="112"/>
      <c r="U26" s="107">
        <f t="shared" si="2"/>
        <v>227.0352928325278</v>
      </c>
      <c r="V26" s="112"/>
      <c r="W26" s="107">
        <f t="shared" si="15"/>
        <v>8.8326464256000001</v>
      </c>
      <c r="X26" s="112"/>
      <c r="Y26" s="107">
        <f>Y25*(1+$B$3)</f>
        <v>6.6244848192000001</v>
      </c>
      <c r="Z26" s="107">
        <f t="shared" si="19"/>
        <v>17.976651611781943</v>
      </c>
      <c r="AA26" s="107">
        <v>4.08</v>
      </c>
      <c r="AB26" s="107">
        <v>10.6</v>
      </c>
      <c r="AC26" s="107">
        <v>6.4</v>
      </c>
      <c r="AD26" s="107">
        <f>AD25*(1+$B$3)</f>
        <v>8.7001567292159994</v>
      </c>
      <c r="AE26" s="107">
        <f t="shared" ref="AE26:AE27" si="21">AE25*(1+$B$3)</f>
        <v>5.9922172039273116</v>
      </c>
      <c r="AF26" s="112"/>
      <c r="AG26" s="112"/>
      <c r="AH26" s="112"/>
      <c r="AI26" s="112"/>
      <c r="AJ26" s="112"/>
      <c r="AK26" s="112"/>
      <c r="AL26" s="107">
        <f t="shared" si="5"/>
        <v>69.206156789725256</v>
      </c>
      <c r="AM26" s="110">
        <f t="shared" si="0"/>
        <v>157.82913604280253</v>
      </c>
      <c r="AN26" s="110">
        <f t="shared" si="6"/>
        <v>893.88173669675029</v>
      </c>
      <c r="AO26" s="112"/>
      <c r="AP26" s="112">
        <f t="shared" si="7"/>
        <v>5.1091536159801301</v>
      </c>
      <c r="AQ26" s="112">
        <f t="shared" si="12"/>
        <v>2.7503999999999995</v>
      </c>
      <c r="AR26" s="112">
        <f t="shared" si="8"/>
        <v>368.5271608224852</v>
      </c>
      <c r="AS26" s="112">
        <f t="shared" si="9"/>
        <v>322.53823963289892</v>
      </c>
      <c r="AT26" s="112">
        <f t="shared" si="18"/>
        <v>243.1820825364708</v>
      </c>
    </row>
    <row r="27" spans="1:46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J27" s="107">
        <f t="shared" si="14"/>
        <v>893.88173669675029</v>
      </c>
      <c r="K27" s="107">
        <v>0.04</v>
      </c>
      <c r="L27" s="107">
        <f t="shared" si="1"/>
        <v>86.855611471662215</v>
      </c>
      <c r="M27" s="107">
        <f t="shared" si="13"/>
        <v>105.60169354126818</v>
      </c>
      <c r="N27" s="107">
        <f t="shared" si="20"/>
        <v>35.755269467870015</v>
      </c>
      <c r="O27" s="107">
        <f t="shared" si="11"/>
        <v>8.0421862473761294</v>
      </c>
      <c r="P27" s="107"/>
      <c r="Q27" s="107"/>
      <c r="R27" s="107"/>
      <c r="S27" s="112"/>
      <c r="T27" s="112"/>
      <c r="U27" s="107">
        <f t="shared" si="2"/>
        <v>236.25476072817654</v>
      </c>
      <c r="V27" s="112"/>
      <c r="W27" s="107">
        <v>9</v>
      </c>
      <c r="X27" s="112"/>
      <c r="Y27" s="107">
        <v>7</v>
      </c>
      <c r="Z27" s="107">
        <f t="shared" si="19"/>
        <v>18.336184644017582</v>
      </c>
      <c r="AA27" s="107">
        <v>4.08</v>
      </c>
      <c r="AB27" s="107">
        <v>10.9</v>
      </c>
      <c r="AC27" s="107">
        <v>6.4</v>
      </c>
      <c r="AD27" s="107">
        <v>8.8800000000000008</v>
      </c>
      <c r="AE27" s="107">
        <f t="shared" si="21"/>
        <v>6.1120615480058582</v>
      </c>
      <c r="AF27" s="112"/>
      <c r="AG27" s="112"/>
      <c r="AH27" s="112"/>
      <c r="AI27" s="112"/>
      <c r="AJ27" s="112"/>
      <c r="AK27" s="112"/>
      <c r="AL27" s="107">
        <f t="shared" si="5"/>
        <v>70.708246192023424</v>
      </c>
      <c r="AM27" s="110">
        <f t="shared" si="0"/>
        <v>165.5465145361531</v>
      </c>
      <c r="AN27" s="110">
        <f t="shared" si="6"/>
        <v>1059.4282512329034</v>
      </c>
      <c r="AO27" s="112"/>
      <c r="AP27" s="112">
        <f t="shared" si="7"/>
        <v>5.211336688299733</v>
      </c>
      <c r="AQ27" s="112">
        <f t="shared" si="12"/>
        <v>2.7503999999999995</v>
      </c>
      <c r="AR27" s="112">
        <f t="shared" si="8"/>
        <v>388.47958394368436</v>
      </c>
      <c r="AS27" s="112">
        <f t="shared" si="9"/>
        <v>338.19016921821492</v>
      </c>
      <c r="AT27" s="112">
        <f t="shared" si="18"/>
        <v>252.90936583792964</v>
      </c>
    </row>
    <row r="28" spans="1:46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t="s">
        <v>135</v>
      </c>
      <c r="J28" s="107">
        <f t="shared" si="14"/>
        <v>1059.4282512329034</v>
      </c>
      <c r="K28" s="107">
        <v>0.02</v>
      </c>
      <c r="L28" s="112"/>
      <c r="M28" s="112"/>
      <c r="N28" s="107">
        <f t="shared" si="20"/>
        <v>21.188565024658068</v>
      </c>
      <c r="O28" s="107">
        <f t="shared" si="11"/>
        <v>8.2030299723236517</v>
      </c>
      <c r="P28" s="112">
        <v>34.927080000000004</v>
      </c>
      <c r="Q28" s="112">
        <v>29.131319999999995</v>
      </c>
      <c r="R28" s="112">
        <f>PMT(0.01/12,20*12,-AR27,,1)*12</f>
        <v>21.421294804000734</v>
      </c>
      <c r="S28" s="112">
        <f>PMT(0.01/12,20*12,-AS27,,1)*12</f>
        <v>18.648267795942825</v>
      </c>
      <c r="T28" s="112">
        <f>AT27</f>
        <v>252.90936583792964</v>
      </c>
      <c r="U28" s="107">
        <f t="shared" si="2"/>
        <v>386.42892343485494</v>
      </c>
      <c r="V28" s="112"/>
      <c r="W28" s="107"/>
      <c r="X28" s="112"/>
      <c r="Y28" s="107"/>
      <c r="Z28" s="107"/>
      <c r="AA28" s="107"/>
      <c r="AB28" s="112"/>
      <c r="AC28" s="107">
        <v>4.2</v>
      </c>
      <c r="AD28" s="112"/>
      <c r="AE28" s="112"/>
      <c r="AF28" s="112"/>
      <c r="AG28" s="112"/>
      <c r="AH28" s="112"/>
      <c r="AI28" s="107">
        <v>118.12363160146052</v>
      </c>
      <c r="AJ28" s="112"/>
      <c r="AK28" s="107"/>
      <c r="AL28" s="107">
        <f t="shared" si="5"/>
        <v>122.32363160146052</v>
      </c>
      <c r="AM28" s="110">
        <f t="shared" si="0"/>
        <v>264.1052918333944</v>
      </c>
      <c r="AN28" s="110">
        <f t="shared" si="6"/>
        <v>1323.5335430662979</v>
      </c>
      <c r="AO28" s="112"/>
      <c r="AP28" s="112"/>
      <c r="AQ28" s="112"/>
      <c r="AR28" s="112"/>
      <c r="AS28" s="112"/>
      <c r="AT28" s="112"/>
    </row>
    <row r="29" spans="1:46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J29" s="107">
        <f t="shared" si="14"/>
        <v>1323.5335430662979</v>
      </c>
      <c r="K29" s="107">
        <v>0.02</v>
      </c>
      <c r="L29" s="112"/>
      <c r="M29" s="112"/>
      <c r="N29" s="107">
        <f t="shared" si="20"/>
        <v>26.470670861325956</v>
      </c>
      <c r="O29" s="107">
        <f t="shared" si="11"/>
        <v>8.3670905717701256</v>
      </c>
      <c r="P29" s="112">
        <f>P28*(1+$B$3)</f>
        <v>35.625621600000002</v>
      </c>
      <c r="Q29" s="112">
        <f>Q28*(1+$B$3)</f>
        <v>29.713946399999994</v>
      </c>
      <c r="R29" s="107">
        <f>R28</f>
        <v>21.421294804000734</v>
      </c>
      <c r="S29" s="112">
        <f>S28</f>
        <v>18.648267795942825</v>
      </c>
      <c r="T29" s="112"/>
      <c r="U29" s="107">
        <f t="shared" si="2"/>
        <v>140.24689203303964</v>
      </c>
      <c r="V29" s="112"/>
      <c r="W29" s="107"/>
      <c r="X29" s="112"/>
      <c r="Y29" s="107"/>
      <c r="Z29" s="112"/>
      <c r="AA29" s="112"/>
      <c r="AB29" s="112"/>
      <c r="AC29" s="107">
        <v>4.2</v>
      </c>
      <c r="AD29" s="112"/>
      <c r="AE29" s="112"/>
      <c r="AF29" s="112"/>
      <c r="AG29" s="112"/>
      <c r="AH29" s="112"/>
      <c r="AI29" s="107">
        <f>AI28*(1+$B$3)</f>
        <v>120.48610423348973</v>
      </c>
      <c r="AJ29" s="112"/>
      <c r="AK29" s="112"/>
      <c r="AL29" s="107">
        <f t="shared" si="5"/>
        <v>124.68610423348973</v>
      </c>
      <c r="AM29" s="110">
        <f t="shared" si="0"/>
        <v>15.560787799549914</v>
      </c>
      <c r="AN29" s="110">
        <f t="shared" si="6"/>
        <v>1339.0943308658477</v>
      </c>
      <c r="AO29" s="112"/>
      <c r="AP29" s="112"/>
      <c r="AQ29" s="112"/>
      <c r="AR29" s="112"/>
      <c r="AS29" s="112"/>
      <c r="AT29" s="112"/>
    </row>
    <row r="30" spans="1:46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J30" s="107">
        <f t="shared" si="14"/>
        <v>1339.0943308658477</v>
      </c>
      <c r="K30" s="107">
        <v>0.02</v>
      </c>
      <c r="L30" s="112"/>
      <c r="M30" s="112"/>
      <c r="N30" s="107">
        <f t="shared" si="20"/>
        <v>26.781886617316957</v>
      </c>
      <c r="O30" s="107">
        <f t="shared" si="11"/>
        <v>8.5344323832055284</v>
      </c>
      <c r="P30" s="112">
        <f t="shared" si="11"/>
        <v>36.338134032000006</v>
      </c>
      <c r="Q30" s="112">
        <f t="shared" si="11"/>
        <v>30.308225327999995</v>
      </c>
      <c r="R30" s="107">
        <f t="shared" ref="R30:S45" si="22">R29</f>
        <v>21.421294804000734</v>
      </c>
      <c r="S30" s="112">
        <f t="shared" si="22"/>
        <v>18.648267795942825</v>
      </c>
      <c r="T30" s="112"/>
      <c r="U30" s="107">
        <f t="shared" si="2"/>
        <v>142.03224096046605</v>
      </c>
      <c r="V30" s="112"/>
      <c r="W30" s="107"/>
      <c r="X30" s="112"/>
      <c r="Y30" s="107"/>
      <c r="Z30" s="112"/>
      <c r="AA30" s="112"/>
      <c r="AB30" s="112"/>
      <c r="AC30" s="107">
        <v>4.2</v>
      </c>
      <c r="AD30" s="112"/>
      <c r="AE30" s="112"/>
      <c r="AF30" s="112"/>
      <c r="AG30" s="112"/>
      <c r="AH30" s="112"/>
      <c r="AI30" s="107">
        <f>AI29*(1+$B$3)</f>
        <v>122.89582631815952</v>
      </c>
      <c r="AJ30" s="112"/>
      <c r="AK30" s="112"/>
      <c r="AL30" s="107">
        <f t="shared" si="5"/>
        <v>127.09582631815952</v>
      </c>
      <c r="AM30" s="110">
        <f t="shared" si="0"/>
        <v>14.936414642306531</v>
      </c>
      <c r="AN30" s="110">
        <f t="shared" si="6"/>
        <v>1354.0307455081543</v>
      </c>
      <c r="AO30" s="112"/>
      <c r="AP30" s="112"/>
      <c r="AQ30" s="112"/>
      <c r="AR30" s="112"/>
      <c r="AS30" s="112"/>
      <c r="AT30" s="112"/>
    </row>
    <row r="31" spans="1:46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J31" s="107">
        <f t="shared" si="14"/>
        <v>1354.0307455081543</v>
      </c>
      <c r="K31" s="107">
        <v>0.02</v>
      </c>
      <c r="L31" s="112"/>
      <c r="M31" s="112"/>
      <c r="N31" s="107">
        <f t="shared" si="20"/>
        <v>27.080614910163085</v>
      </c>
      <c r="O31" s="107">
        <f t="shared" ref="O31:Q46" si="23">O30*(1+$B$3)</f>
        <v>8.7051210308696394</v>
      </c>
      <c r="P31" s="112">
        <f t="shared" si="23"/>
        <v>37.064896712640007</v>
      </c>
      <c r="Q31" s="112">
        <f t="shared" si="23"/>
        <v>30.914389834559994</v>
      </c>
      <c r="R31" s="107">
        <f t="shared" si="22"/>
        <v>21.421294804000734</v>
      </c>
      <c r="S31" s="112">
        <f t="shared" si="22"/>
        <v>18.648267795942825</v>
      </c>
      <c r="T31" s="112"/>
      <c r="U31" s="107">
        <f t="shared" si="2"/>
        <v>143.83458508817628</v>
      </c>
      <c r="V31" s="112"/>
      <c r="W31" s="107"/>
      <c r="X31" s="112"/>
      <c r="Y31" s="107"/>
      <c r="Z31" s="112"/>
      <c r="AA31" s="112"/>
      <c r="AB31" s="112"/>
      <c r="AC31" s="107">
        <v>4.2</v>
      </c>
      <c r="AD31" s="112"/>
      <c r="AE31" s="112"/>
      <c r="AF31" s="112"/>
      <c r="AG31" s="112"/>
      <c r="AH31" s="112"/>
      <c r="AI31" s="107">
        <f t="shared" ref="AI31:AI53" si="24">AI30*(1+$B$3)</f>
        <v>125.35374284452271</v>
      </c>
      <c r="AJ31" s="112"/>
      <c r="AK31" s="112"/>
      <c r="AL31" s="107">
        <f t="shared" si="5"/>
        <v>129.5537428445227</v>
      </c>
      <c r="AM31" s="110">
        <f t="shared" si="0"/>
        <v>14.280842243653581</v>
      </c>
      <c r="AN31" s="110">
        <f t="shared" si="6"/>
        <v>1368.3115877518078</v>
      </c>
      <c r="AO31" s="112"/>
      <c r="AP31" s="112"/>
      <c r="AQ31" s="112"/>
      <c r="AR31" s="112"/>
      <c r="AS31" s="112"/>
      <c r="AT31" s="112"/>
    </row>
    <row r="32" spans="1:46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J32" s="107">
        <f t="shared" si="14"/>
        <v>1368.3115877518078</v>
      </c>
      <c r="K32" s="107">
        <v>0.02</v>
      </c>
      <c r="L32" s="112"/>
      <c r="M32" s="112"/>
      <c r="N32" s="107">
        <f t="shared" si="20"/>
        <v>27.366231755036157</v>
      </c>
      <c r="O32" s="107">
        <f t="shared" si="23"/>
        <v>8.8792234514870323</v>
      </c>
      <c r="P32" s="112">
        <f t="shared" si="23"/>
        <v>37.806194646892806</v>
      </c>
      <c r="Q32" s="112">
        <f t="shared" si="23"/>
        <v>31.532677631251193</v>
      </c>
      <c r="R32" s="107">
        <f t="shared" si="22"/>
        <v>21.421294804000734</v>
      </c>
      <c r="S32" s="112">
        <f t="shared" si="22"/>
        <v>18.648267795942825</v>
      </c>
      <c r="T32" s="112"/>
      <c r="U32" s="107">
        <f t="shared" si="2"/>
        <v>145.65389008461074</v>
      </c>
      <c r="V32" s="112"/>
      <c r="W32" s="107"/>
      <c r="X32" s="112"/>
      <c r="Y32" s="107"/>
      <c r="Z32" s="112"/>
      <c r="AA32" s="112"/>
      <c r="AB32" s="112"/>
      <c r="AC32" s="107">
        <v>4.2</v>
      </c>
      <c r="AD32" s="112"/>
      <c r="AE32" s="112"/>
      <c r="AF32" s="112"/>
      <c r="AG32" s="112"/>
      <c r="AH32" s="112"/>
      <c r="AI32" s="107">
        <f t="shared" si="24"/>
        <v>127.86081770141317</v>
      </c>
      <c r="AJ32" s="112"/>
      <c r="AK32" s="112"/>
      <c r="AL32" s="107">
        <f t="shared" si="5"/>
        <v>132.06081770141316</v>
      </c>
      <c r="AM32" s="110">
        <f t="shared" si="0"/>
        <v>13.59307238319758</v>
      </c>
      <c r="AN32" s="110">
        <f t="shared" si="6"/>
        <v>1381.9046601350053</v>
      </c>
      <c r="AO32" s="112"/>
      <c r="AP32" s="112"/>
      <c r="AQ32" s="112"/>
      <c r="AR32" s="112"/>
      <c r="AS32" s="112"/>
      <c r="AT32" s="112"/>
    </row>
    <row r="33" spans="4:46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J33" s="107">
        <f t="shared" si="14"/>
        <v>1381.9046601350053</v>
      </c>
      <c r="K33" s="107">
        <v>0.02</v>
      </c>
      <c r="L33" s="112"/>
      <c r="M33" s="112"/>
      <c r="N33" s="107">
        <f t="shared" si="20"/>
        <v>27.638093202700105</v>
      </c>
      <c r="O33" s="107">
        <f t="shared" si="23"/>
        <v>9.0568079205167731</v>
      </c>
      <c r="P33" s="112">
        <f t="shared" si="23"/>
        <v>38.562318539830663</v>
      </c>
      <c r="Q33" s="112">
        <f t="shared" si="23"/>
        <v>32.163331183876217</v>
      </c>
      <c r="R33" s="107">
        <f t="shared" si="22"/>
        <v>21.421294804000734</v>
      </c>
      <c r="S33" s="112">
        <f t="shared" si="22"/>
        <v>18.648267795942825</v>
      </c>
      <c r="T33" s="112"/>
      <c r="U33" s="107">
        <f t="shared" si="2"/>
        <v>147.4901134468673</v>
      </c>
      <c r="V33" s="112"/>
      <c r="W33" s="107"/>
      <c r="X33" s="112"/>
      <c r="Y33" s="107"/>
      <c r="Z33" s="112"/>
      <c r="AA33" s="112"/>
      <c r="AB33" s="112"/>
      <c r="AC33" s="107">
        <v>4.2</v>
      </c>
      <c r="AD33" s="112"/>
      <c r="AE33" s="112"/>
      <c r="AF33" s="112"/>
      <c r="AG33" s="112"/>
      <c r="AH33" s="112"/>
      <c r="AI33" s="107">
        <f t="shared" si="24"/>
        <v>130.41803405544144</v>
      </c>
      <c r="AJ33" s="112"/>
      <c r="AK33" s="112"/>
      <c r="AL33" s="107">
        <f t="shared" si="5"/>
        <v>134.61803405544143</v>
      </c>
      <c r="AM33" s="110">
        <f t="shared" si="0"/>
        <v>12.872079391425871</v>
      </c>
      <c r="AN33" s="110">
        <f t="shared" si="6"/>
        <v>1394.7767395264311</v>
      </c>
      <c r="AO33" s="112"/>
      <c r="AP33" s="112"/>
      <c r="AQ33" s="112"/>
      <c r="AR33" s="112"/>
      <c r="AS33" s="112"/>
      <c r="AT33" s="112"/>
    </row>
    <row r="34" spans="4:46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J34" s="107">
        <f t="shared" si="14"/>
        <v>1394.7767395264311</v>
      </c>
      <c r="K34" s="107">
        <v>0.02</v>
      </c>
      <c r="L34" s="112"/>
      <c r="M34" s="112"/>
      <c r="N34" s="107">
        <f t="shared" si="20"/>
        <v>27.895534790528622</v>
      </c>
      <c r="O34" s="107">
        <f t="shared" si="23"/>
        <v>9.237944078927109</v>
      </c>
      <c r="P34" s="112">
        <f t="shared" si="23"/>
        <v>39.333564910627274</v>
      </c>
      <c r="Q34" s="112">
        <f t="shared" si="23"/>
        <v>32.806597807553743</v>
      </c>
      <c r="R34" s="107">
        <f t="shared" si="22"/>
        <v>21.421294804000734</v>
      </c>
      <c r="S34" s="112">
        <f t="shared" si="22"/>
        <v>18.648267795942825</v>
      </c>
      <c r="T34" s="112"/>
      <c r="U34" s="107">
        <f t="shared" si="2"/>
        <v>149.34320418758028</v>
      </c>
      <c r="V34" s="112"/>
      <c r="W34" s="107"/>
      <c r="X34" s="112"/>
      <c r="Y34" s="107"/>
      <c r="Z34" s="112"/>
      <c r="AA34" s="112"/>
      <c r="AB34" s="112"/>
      <c r="AC34" s="107">
        <v>4.2</v>
      </c>
      <c r="AD34" s="112"/>
      <c r="AE34" s="112"/>
      <c r="AF34" s="112"/>
      <c r="AG34" s="112"/>
      <c r="AH34" s="112"/>
      <c r="AI34" s="107">
        <f t="shared" si="24"/>
        <v>133.02639473655026</v>
      </c>
      <c r="AJ34" s="112"/>
      <c r="AK34" s="112"/>
      <c r="AL34" s="107">
        <f t="shared" si="5"/>
        <v>137.22639473655025</v>
      </c>
      <c r="AM34" s="110">
        <f t="shared" si="0"/>
        <v>12.116809451030036</v>
      </c>
      <c r="AN34" s="110">
        <f t="shared" si="6"/>
        <v>1406.8935489774613</v>
      </c>
      <c r="AO34" s="112"/>
      <c r="AP34" s="112"/>
      <c r="AQ34" s="112"/>
      <c r="AR34" s="112"/>
      <c r="AS34" s="112"/>
      <c r="AT34" s="112"/>
    </row>
    <row r="35" spans="4:46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J35" s="107">
        <f t="shared" si="14"/>
        <v>1406.8935489774613</v>
      </c>
      <c r="K35" s="107">
        <v>0.02</v>
      </c>
      <c r="L35" s="112"/>
      <c r="M35" s="112"/>
      <c r="N35" s="107">
        <f t="shared" si="20"/>
        <v>28.137870979549227</v>
      </c>
      <c r="O35" s="107">
        <f t="shared" si="23"/>
        <v>9.4227029605056511</v>
      </c>
      <c r="P35" s="112">
        <f t="shared" si="23"/>
        <v>40.12023620883982</v>
      </c>
      <c r="Q35" s="112">
        <f t="shared" si="23"/>
        <v>33.462729763704822</v>
      </c>
      <c r="R35" s="107">
        <f t="shared" si="22"/>
        <v>21.421294804000734</v>
      </c>
      <c r="S35" s="112">
        <f t="shared" si="22"/>
        <v>18.648267795942825</v>
      </c>
      <c r="T35" s="112"/>
      <c r="U35" s="107">
        <f t="shared" si="2"/>
        <v>151.21310251254306</v>
      </c>
      <c r="V35" s="112"/>
      <c r="W35" s="107"/>
      <c r="X35" s="112"/>
      <c r="Y35" s="107"/>
      <c r="Z35" s="112"/>
      <c r="AA35" s="112"/>
      <c r="AB35" s="112"/>
      <c r="AC35" s="107">
        <v>4.2</v>
      </c>
      <c r="AD35" s="112"/>
      <c r="AE35" s="112"/>
      <c r="AF35" s="112"/>
      <c r="AG35" s="112"/>
      <c r="AH35" s="112"/>
      <c r="AI35" s="107">
        <f t="shared" si="24"/>
        <v>135.68692263128128</v>
      </c>
      <c r="AJ35" s="112"/>
      <c r="AK35" s="112"/>
      <c r="AL35" s="107">
        <f t="shared" si="5"/>
        <v>139.88692263128127</v>
      </c>
      <c r="AM35" s="110">
        <f t="shared" si="0"/>
        <v>11.326179881261794</v>
      </c>
      <c r="AN35" s="110">
        <f t="shared" si="6"/>
        <v>1418.2197288587231</v>
      </c>
      <c r="AO35" s="112"/>
      <c r="AP35" s="112"/>
      <c r="AQ35" s="112"/>
      <c r="AR35" s="112"/>
      <c r="AS35" s="112"/>
      <c r="AT35" s="112"/>
    </row>
    <row r="36" spans="4:46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J36" s="107">
        <f t="shared" si="14"/>
        <v>1418.2197288587231</v>
      </c>
      <c r="K36" s="107">
        <v>0.02</v>
      </c>
      <c r="L36" s="112"/>
      <c r="M36" s="112"/>
      <c r="N36" s="107">
        <f t="shared" si="20"/>
        <v>28.364394577174462</v>
      </c>
      <c r="O36" s="107">
        <f t="shared" si="23"/>
        <v>9.6111570197157636</v>
      </c>
      <c r="P36" s="112">
        <f t="shared" si="23"/>
        <v>40.922640933016616</v>
      </c>
      <c r="Q36" s="112">
        <f t="shared" si="23"/>
        <v>34.131984358978919</v>
      </c>
      <c r="R36" s="107">
        <f t="shared" si="22"/>
        <v>21.421294804000734</v>
      </c>
      <c r="S36" s="112">
        <f t="shared" si="22"/>
        <v>18.648267795942825</v>
      </c>
      <c r="T36" s="112"/>
      <c r="U36" s="107">
        <f t="shared" si="2"/>
        <v>153.0997394888293</v>
      </c>
      <c r="V36" s="112"/>
      <c r="W36" s="107"/>
      <c r="X36" s="112"/>
      <c r="Y36" s="107"/>
      <c r="Z36" s="112"/>
      <c r="AA36" s="112"/>
      <c r="AB36" s="112"/>
      <c r="AC36" s="107">
        <v>4.2</v>
      </c>
      <c r="AD36" s="112"/>
      <c r="AE36" s="112"/>
      <c r="AF36" s="112"/>
      <c r="AG36" s="112"/>
      <c r="AH36" s="112"/>
      <c r="AI36" s="107">
        <f t="shared" si="24"/>
        <v>138.4006610839069</v>
      </c>
      <c r="AJ36" s="112"/>
      <c r="AK36" s="112"/>
      <c r="AL36" s="107">
        <f t="shared" si="5"/>
        <v>142.60066108390689</v>
      </c>
      <c r="AM36" s="110">
        <f t="shared" si="0"/>
        <v>10.499078404922415</v>
      </c>
      <c r="AN36" s="110">
        <f t="shared" si="6"/>
        <v>1428.7188072636454</v>
      </c>
      <c r="AO36" s="112"/>
      <c r="AP36" s="112"/>
      <c r="AQ36" s="112"/>
      <c r="AR36" s="112"/>
      <c r="AS36" s="112"/>
      <c r="AT36" s="112"/>
    </row>
    <row r="37" spans="4:46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J37" s="107">
        <f t="shared" si="14"/>
        <v>1428.7188072636454</v>
      </c>
      <c r="K37" s="107">
        <v>0.02</v>
      </c>
      <c r="L37" s="112"/>
      <c r="M37" s="112"/>
      <c r="N37" s="107">
        <f t="shared" si="20"/>
        <v>28.574376145272907</v>
      </c>
      <c r="O37" s="107">
        <f t="shared" si="23"/>
        <v>9.8033801601100787</v>
      </c>
      <c r="P37" s="112">
        <f t="shared" si="23"/>
        <v>41.741093751676949</v>
      </c>
      <c r="Q37" s="112">
        <f t="shared" si="23"/>
        <v>34.814624046158499</v>
      </c>
      <c r="R37" s="107">
        <f t="shared" si="22"/>
        <v>21.421294804000734</v>
      </c>
      <c r="S37" s="112">
        <f t="shared" si="22"/>
        <v>18.648267795942825</v>
      </c>
      <c r="T37" s="112"/>
      <c r="U37" s="107">
        <f t="shared" si="2"/>
        <v>155.003036703162</v>
      </c>
      <c r="V37" s="112"/>
      <c r="W37" s="107"/>
      <c r="X37" s="112"/>
      <c r="Y37" s="107"/>
      <c r="Z37" s="112"/>
      <c r="AA37" s="112"/>
      <c r="AB37" s="112"/>
      <c r="AC37" s="107">
        <v>4.2</v>
      </c>
      <c r="AD37" s="112"/>
      <c r="AE37" s="112"/>
      <c r="AF37" s="112"/>
      <c r="AG37" s="112"/>
      <c r="AH37" s="112"/>
      <c r="AI37" s="107">
        <f t="shared" si="24"/>
        <v>141.16867430558503</v>
      </c>
      <c r="AJ37" s="112"/>
      <c r="AK37" s="112"/>
      <c r="AL37" s="107">
        <f t="shared" si="5"/>
        <v>145.36867430558502</v>
      </c>
      <c r="AM37" s="110">
        <f t="shared" si="0"/>
        <v>9.6343623975769788</v>
      </c>
      <c r="AN37" s="110">
        <f t="shared" si="6"/>
        <v>1438.3531696612224</v>
      </c>
      <c r="AO37" s="112"/>
      <c r="AP37" s="112"/>
      <c r="AQ37" s="112"/>
      <c r="AR37" s="112"/>
      <c r="AS37" s="112"/>
      <c r="AT37" s="112"/>
    </row>
    <row r="38" spans="4:46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J38" s="107">
        <f t="shared" si="14"/>
        <v>1438.3531696612224</v>
      </c>
      <c r="K38" s="107">
        <v>0.02</v>
      </c>
      <c r="L38" s="112"/>
      <c r="M38" s="112"/>
      <c r="N38" s="107">
        <f t="shared" si="20"/>
        <v>28.767063393224447</v>
      </c>
      <c r="O38" s="107">
        <f t="shared" si="23"/>
        <v>9.9994477633122809</v>
      </c>
      <c r="P38" s="112">
        <f t="shared" si="23"/>
        <v>42.57591562671049</v>
      </c>
      <c r="Q38" s="112">
        <f t="shared" si="23"/>
        <v>35.510916527081669</v>
      </c>
      <c r="R38" s="107">
        <f t="shared" si="22"/>
        <v>21.421294804000734</v>
      </c>
      <c r="S38" s="112">
        <f t="shared" si="22"/>
        <v>18.648267795942825</v>
      </c>
      <c r="T38" s="112"/>
      <c r="U38" s="107">
        <f t="shared" si="2"/>
        <v>156.92290591027242</v>
      </c>
      <c r="V38" s="112"/>
      <c r="W38" s="107"/>
      <c r="X38" s="112"/>
      <c r="Y38" s="107"/>
      <c r="Z38" s="112"/>
      <c r="AA38" s="112"/>
      <c r="AB38" s="112"/>
      <c r="AC38" s="107">
        <v>4.2</v>
      </c>
      <c r="AD38" s="112"/>
      <c r="AE38" s="112"/>
      <c r="AF38" s="112"/>
      <c r="AG38" s="112"/>
      <c r="AH38" s="112"/>
      <c r="AI38" s="107">
        <f t="shared" si="24"/>
        <v>143.99204779169673</v>
      </c>
      <c r="AJ38" s="112"/>
      <c r="AK38" s="112"/>
      <c r="AL38" s="107">
        <f t="shared" si="5"/>
        <v>148.19204779169672</v>
      </c>
      <c r="AM38" s="110">
        <f t="shared" si="0"/>
        <v>8.7308581185756964</v>
      </c>
      <c r="AN38" s="110">
        <f t="shared" si="6"/>
        <v>1447.0840277797981</v>
      </c>
      <c r="AO38" s="112"/>
      <c r="AP38" s="112"/>
      <c r="AQ38" s="112"/>
      <c r="AR38" s="112"/>
      <c r="AS38" s="112"/>
      <c r="AT38" s="112"/>
    </row>
    <row r="39" spans="4:46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J39" s="107">
        <f t="shared" si="14"/>
        <v>1447.0840277797981</v>
      </c>
      <c r="K39" s="107">
        <v>0.02</v>
      </c>
      <c r="L39" s="112"/>
      <c r="M39" s="112"/>
      <c r="N39" s="107">
        <f t="shared" si="20"/>
        <v>28.941680555595962</v>
      </c>
      <c r="O39" s="107">
        <f t="shared" si="23"/>
        <v>10.199436718578527</v>
      </c>
      <c r="P39" s="112">
        <f t="shared" si="23"/>
        <v>43.4274339392447</v>
      </c>
      <c r="Q39" s="112">
        <f t="shared" si="23"/>
        <v>36.221134857623305</v>
      </c>
      <c r="R39" s="107">
        <f t="shared" si="22"/>
        <v>21.421294804000734</v>
      </c>
      <c r="S39" s="112">
        <f t="shared" si="22"/>
        <v>18.648267795942825</v>
      </c>
      <c r="T39" s="112"/>
      <c r="U39" s="107">
        <f t="shared" si="2"/>
        <v>158.85924867098603</v>
      </c>
      <c r="V39" s="112"/>
      <c r="W39" s="107"/>
      <c r="X39" s="112"/>
      <c r="Y39" s="107"/>
      <c r="Z39" s="112"/>
      <c r="AA39" s="112"/>
      <c r="AB39" s="112"/>
      <c r="AC39" s="112"/>
      <c r="AD39" s="112"/>
      <c r="AE39" s="112"/>
      <c r="AF39" s="112"/>
      <c r="AG39" s="112"/>
      <c r="AH39" s="112"/>
      <c r="AI39" s="107">
        <f t="shared" si="24"/>
        <v>146.87188874753068</v>
      </c>
      <c r="AJ39" s="112"/>
      <c r="AK39" s="112"/>
      <c r="AL39" s="107">
        <f t="shared" si="5"/>
        <v>146.87188874753068</v>
      </c>
      <c r="AM39" s="110">
        <f t="shared" si="0"/>
        <v>11.987359923455358</v>
      </c>
      <c r="AN39" s="110">
        <f t="shared" si="6"/>
        <v>1459.0713877032535</v>
      </c>
      <c r="AO39" s="112"/>
      <c r="AP39" s="112"/>
      <c r="AQ39" s="112"/>
      <c r="AR39" s="112"/>
      <c r="AS39" s="112"/>
      <c r="AT39" s="112"/>
    </row>
    <row r="40" spans="4:46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J40" s="107">
        <f t="shared" si="14"/>
        <v>1459.0713877032535</v>
      </c>
      <c r="K40" s="107">
        <v>0.02</v>
      </c>
      <c r="L40" s="112"/>
      <c r="M40" s="112"/>
      <c r="N40" s="107">
        <f t="shared" si="20"/>
        <v>29.181427754065073</v>
      </c>
      <c r="O40" s="107">
        <f t="shared" si="23"/>
        <v>10.403425452950097</v>
      </c>
      <c r="P40" s="112">
        <f t="shared" si="23"/>
        <v>44.295982618029598</v>
      </c>
      <c r="Q40" s="112">
        <f t="shared" si="23"/>
        <v>36.945557554775775</v>
      </c>
      <c r="R40" s="107">
        <f t="shared" si="22"/>
        <v>21.421294804000734</v>
      </c>
      <c r="S40" s="112">
        <f t="shared" si="22"/>
        <v>18.648267795942825</v>
      </c>
      <c r="T40" s="112"/>
      <c r="U40" s="107">
        <f t="shared" si="2"/>
        <v>160.8959559797641</v>
      </c>
      <c r="V40" s="112"/>
      <c r="W40" s="107"/>
      <c r="X40" s="112"/>
      <c r="Y40" s="107"/>
      <c r="Z40" s="112"/>
      <c r="AA40" s="112"/>
      <c r="AB40" s="112"/>
      <c r="AC40" s="112"/>
      <c r="AD40" s="112"/>
      <c r="AE40" s="112"/>
      <c r="AF40" s="112"/>
      <c r="AG40" s="112"/>
      <c r="AH40" s="112"/>
      <c r="AI40" s="107">
        <f t="shared" si="24"/>
        <v>149.80932652248129</v>
      </c>
      <c r="AJ40" s="112"/>
      <c r="AK40" s="112"/>
      <c r="AL40" s="107">
        <f t="shared" si="5"/>
        <v>149.80932652248129</v>
      </c>
      <c r="AM40" s="110">
        <f t="shared" si="0"/>
        <v>11.086629457282811</v>
      </c>
      <c r="AN40" s="110">
        <f t="shared" si="6"/>
        <v>1470.1580171605365</v>
      </c>
      <c r="AO40" s="112"/>
      <c r="AP40" s="112"/>
      <c r="AQ40" s="112"/>
      <c r="AR40" s="112"/>
      <c r="AS40" s="112"/>
      <c r="AT40" s="112"/>
    </row>
    <row r="41" spans="4:46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J41" s="107">
        <f t="shared" si="14"/>
        <v>1470.1580171605365</v>
      </c>
      <c r="K41" s="107">
        <v>0.02</v>
      </c>
      <c r="L41" s="112"/>
      <c r="M41" s="112"/>
      <c r="N41" s="107">
        <f t="shared" si="20"/>
        <v>29.403160343210729</v>
      </c>
      <c r="O41" s="107">
        <f t="shared" si="23"/>
        <v>10.611493962009099</v>
      </c>
      <c r="P41" s="112">
        <f t="shared" si="23"/>
        <v>45.181902270390189</v>
      </c>
      <c r="Q41" s="112">
        <f t="shared" si="23"/>
        <v>37.684468705871289</v>
      </c>
      <c r="R41" s="107">
        <f t="shared" si="22"/>
        <v>21.421294804000734</v>
      </c>
      <c r="S41" s="112">
        <f t="shared" si="22"/>
        <v>18.648267795942825</v>
      </c>
      <c r="T41" s="112"/>
      <c r="U41" s="107">
        <f t="shared" si="2"/>
        <v>162.95058788142484</v>
      </c>
      <c r="V41" s="112"/>
      <c r="W41" s="107"/>
      <c r="X41" s="112"/>
      <c r="Y41" s="107"/>
      <c r="Z41" s="112"/>
      <c r="AA41" s="112"/>
      <c r="AB41" s="112"/>
      <c r="AC41" s="112"/>
      <c r="AD41" s="112"/>
      <c r="AE41" s="112"/>
      <c r="AF41" s="112"/>
      <c r="AG41" s="112"/>
      <c r="AH41" s="112"/>
      <c r="AI41" s="107">
        <f t="shared" si="24"/>
        <v>152.80551305293091</v>
      </c>
      <c r="AJ41" s="112"/>
      <c r="AK41" s="112"/>
      <c r="AL41" s="107">
        <f t="shared" si="5"/>
        <v>152.80551305293091</v>
      </c>
      <c r="AM41" s="110">
        <f t="shared" si="0"/>
        <v>10.145074828493932</v>
      </c>
      <c r="AN41" s="110">
        <f t="shared" si="6"/>
        <v>1480.3030919890305</v>
      </c>
      <c r="AO41" s="112"/>
      <c r="AP41" s="112"/>
      <c r="AQ41" s="112"/>
      <c r="AR41" s="112"/>
      <c r="AS41" s="112"/>
      <c r="AT41" s="112"/>
    </row>
    <row r="42" spans="4:46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J42" s="107">
        <f t="shared" si="14"/>
        <v>1480.3030919890305</v>
      </c>
      <c r="K42" s="107">
        <v>0.02</v>
      </c>
      <c r="L42" s="112"/>
      <c r="M42" s="112"/>
      <c r="N42" s="107">
        <f t="shared" si="20"/>
        <v>29.606061839780608</v>
      </c>
      <c r="O42" s="107">
        <f t="shared" si="23"/>
        <v>10.823723841249281</v>
      </c>
      <c r="P42" s="112">
        <f t="shared" si="23"/>
        <v>46.085540315797992</v>
      </c>
      <c r="Q42" s="112">
        <f t="shared" si="23"/>
        <v>38.438158079988717</v>
      </c>
      <c r="R42" s="107">
        <f t="shared" si="22"/>
        <v>21.421294804000734</v>
      </c>
      <c r="S42" s="112">
        <f t="shared" si="22"/>
        <v>18.648267795942825</v>
      </c>
      <c r="T42" s="112"/>
      <c r="U42" s="107">
        <f t="shared" si="2"/>
        <v>165.02304667676015</v>
      </c>
      <c r="V42" s="112"/>
      <c r="W42" s="107"/>
      <c r="X42" s="112"/>
      <c r="Y42" s="107"/>
      <c r="Z42" s="112"/>
      <c r="AA42" s="112"/>
      <c r="AB42" s="112"/>
      <c r="AC42" s="112"/>
      <c r="AD42" s="112"/>
      <c r="AE42" s="112"/>
      <c r="AF42" s="112"/>
      <c r="AG42" s="112"/>
      <c r="AH42" s="112"/>
      <c r="AI42" s="107">
        <f t="shared" si="24"/>
        <v>155.86162331398953</v>
      </c>
      <c r="AJ42" s="112"/>
      <c r="AK42" s="112"/>
      <c r="AL42" s="107">
        <f t="shared" si="5"/>
        <v>155.86162331398953</v>
      </c>
      <c r="AM42" s="110">
        <f t="shared" si="0"/>
        <v>9.1614233627706199</v>
      </c>
      <c r="AN42" s="110">
        <f t="shared" si="6"/>
        <v>1489.4645153518011</v>
      </c>
      <c r="AO42" s="112"/>
      <c r="AP42" s="112"/>
      <c r="AQ42" s="112"/>
      <c r="AR42" s="112"/>
      <c r="AS42" s="112"/>
      <c r="AT42" s="112"/>
    </row>
    <row r="43" spans="4:46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J43" s="107">
        <f t="shared" si="14"/>
        <v>1489.4645153518011</v>
      </c>
      <c r="K43" s="107">
        <v>0.02</v>
      </c>
      <c r="L43" s="112"/>
      <c r="M43" s="112"/>
      <c r="N43" s="107">
        <f t="shared" si="20"/>
        <v>29.789290307036023</v>
      </c>
      <c r="O43" s="107">
        <f t="shared" si="23"/>
        <v>11.040198318074268</v>
      </c>
      <c r="P43" s="112">
        <f t="shared" si="23"/>
        <v>47.007251122113949</v>
      </c>
      <c r="Q43" s="112">
        <f t="shared" si="23"/>
        <v>39.206921241588489</v>
      </c>
      <c r="R43" s="107">
        <f t="shared" si="22"/>
        <v>21.421294804000734</v>
      </c>
      <c r="S43" s="112">
        <f t="shared" si="22"/>
        <v>18.648267795942825</v>
      </c>
      <c r="T43" s="112"/>
      <c r="U43" s="107">
        <f t="shared" si="2"/>
        <v>167.11322358875628</v>
      </c>
      <c r="V43" s="112"/>
      <c r="W43" s="107"/>
      <c r="X43" s="112"/>
      <c r="Y43" s="107"/>
      <c r="Z43" s="112"/>
      <c r="AA43" s="112"/>
      <c r="AB43" s="112"/>
      <c r="AC43" s="112"/>
      <c r="AD43" s="112"/>
      <c r="AE43" s="112"/>
      <c r="AF43" s="112"/>
      <c r="AG43" s="112"/>
      <c r="AH43" s="112"/>
      <c r="AI43" s="107">
        <f t="shared" si="24"/>
        <v>158.97885578026933</v>
      </c>
      <c r="AJ43" s="112"/>
      <c r="AK43" s="112"/>
      <c r="AL43" s="107">
        <f t="shared" si="5"/>
        <v>158.97885578026933</v>
      </c>
      <c r="AM43" s="110">
        <f t="shared" si="0"/>
        <v>8.1343678084869566</v>
      </c>
      <c r="AN43" s="110">
        <f t="shared" si="6"/>
        <v>1497.5988831602881</v>
      </c>
      <c r="AO43" s="112"/>
      <c r="AP43" s="112"/>
      <c r="AQ43" s="112"/>
      <c r="AR43" s="112"/>
      <c r="AS43" s="112"/>
      <c r="AT43" s="112"/>
    </row>
    <row r="44" spans="4:46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J44" s="107">
        <f t="shared" si="14"/>
        <v>1497.5988831602881</v>
      </c>
      <c r="K44" s="107">
        <v>0.02</v>
      </c>
      <c r="L44" s="112"/>
      <c r="M44" s="112"/>
      <c r="N44" s="107">
        <f t="shared" si="20"/>
        <v>29.951977663205763</v>
      </c>
      <c r="O44" s="107">
        <f t="shared" si="23"/>
        <v>11.261002284435753</v>
      </c>
      <c r="P44" s="112">
        <f t="shared" si="23"/>
        <v>47.94739614455623</v>
      </c>
      <c r="Q44" s="112">
        <f t="shared" si="23"/>
        <v>39.991059666420263</v>
      </c>
      <c r="R44" s="107">
        <f t="shared" si="22"/>
        <v>21.421294804000734</v>
      </c>
      <c r="S44" s="112">
        <f t="shared" si="22"/>
        <v>18.648267795942825</v>
      </c>
      <c r="T44" s="112"/>
      <c r="U44" s="107">
        <f t="shared" si="2"/>
        <v>169.22099835856153</v>
      </c>
      <c r="V44" s="112"/>
      <c r="W44" s="107"/>
      <c r="X44" s="112"/>
      <c r="Y44" s="107"/>
      <c r="Z44" s="112"/>
      <c r="AA44" s="112"/>
      <c r="AB44" s="112"/>
      <c r="AC44" s="112"/>
      <c r="AD44" s="112"/>
      <c r="AE44" s="112"/>
      <c r="AF44" s="112"/>
      <c r="AG44" s="112"/>
      <c r="AH44" s="112"/>
      <c r="AI44" s="107">
        <f t="shared" si="24"/>
        <v>162.15843289587471</v>
      </c>
      <c r="AJ44" s="112"/>
      <c r="AK44" s="112"/>
      <c r="AL44" s="107">
        <f t="shared" si="5"/>
        <v>162.15843289587471</v>
      </c>
      <c r="AM44" s="110">
        <f t="shared" si="0"/>
        <v>7.0625654626868197</v>
      </c>
      <c r="AN44" s="110">
        <f t="shared" si="6"/>
        <v>1504.6614486229748</v>
      </c>
      <c r="AO44" s="112"/>
      <c r="AP44" s="112"/>
      <c r="AQ44" s="112"/>
      <c r="AR44" s="112"/>
      <c r="AS44" s="112"/>
      <c r="AT44" s="112"/>
    </row>
    <row r="45" spans="4:46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J45" s="107">
        <f t="shared" si="14"/>
        <v>1504.6614486229748</v>
      </c>
      <c r="K45" s="107">
        <v>0.02</v>
      </c>
      <c r="L45" s="112"/>
      <c r="M45" s="112"/>
      <c r="N45" s="107">
        <f t="shared" si="20"/>
        <v>30.093228972459496</v>
      </c>
      <c r="O45" s="107">
        <f t="shared" si="23"/>
        <v>11.486222330124468</v>
      </c>
      <c r="P45" s="112">
        <f t="shared" si="23"/>
        <v>48.906344067447357</v>
      </c>
      <c r="Q45" s="112">
        <f t="shared" si="23"/>
        <v>40.790880859748668</v>
      </c>
      <c r="R45" s="107">
        <f t="shared" si="22"/>
        <v>21.421294804000734</v>
      </c>
      <c r="S45" s="112">
        <f t="shared" si="22"/>
        <v>18.648267795942825</v>
      </c>
      <c r="T45" s="112"/>
      <c r="U45" s="107">
        <f t="shared" si="2"/>
        <v>171.34623882972352</v>
      </c>
      <c r="V45" s="112"/>
      <c r="W45" s="107"/>
      <c r="X45" s="112"/>
      <c r="Y45" s="107"/>
      <c r="Z45" s="112"/>
      <c r="AA45" s="112"/>
      <c r="AB45" s="112"/>
      <c r="AC45" s="112"/>
      <c r="AD45" s="112"/>
      <c r="AE45" s="112"/>
      <c r="AF45" s="112"/>
      <c r="AG45" s="112"/>
      <c r="AH45" s="112"/>
      <c r="AI45" s="107">
        <f t="shared" si="24"/>
        <v>165.4016015537922</v>
      </c>
      <c r="AJ45" s="112"/>
      <c r="AK45" s="112"/>
      <c r="AL45" s="107">
        <f t="shared" si="5"/>
        <v>165.4016015537922</v>
      </c>
      <c r="AM45" s="110">
        <f t="shared" si="0"/>
        <v>5.9446372759313135</v>
      </c>
      <c r="AN45" s="110">
        <f t="shared" si="6"/>
        <v>1510.6060858989063</v>
      </c>
      <c r="AO45" s="112"/>
      <c r="AP45" s="112"/>
      <c r="AQ45" s="112"/>
      <c r="AR45" s="112"/>
      <c r="AS45" s="112"/>
      <c r="AT45" s="112"/>
    </row>
    <row r="46" spans="4:46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J46" s="107">
        <f t="shared" si="14"/>
        <v>1510.6060858989063</v>
      </c>
      <c r="K46" s="107">
        <v>0.02</v>
      </c>
      <c r="L46" s="112"/>
      <c r="M46" s="112"/>
      <c r="N46" s="107">
        <f t="shared" si="20"/>
        <v>30.212121717978125</v>
      </c>
      <c r="O46" s="107">
        <f t="shared" si="23"/>
        <v>11.715946776726957</v>
      </c>
      <c r="P46" s="112">
        <f t="shared" si="23"/>
        <v>49.884470948796306</v>
      </c>
      <c r="Q46" s="112">
        <f t="shared" si="23"/>
        <v>41.606698476943642</v>
      </c>
      <c r="R46" s="107">
        <f t="shared" ref="R46:S47" si="25">R45</f>
        <v>21.421294804000734</v>
      </c>
      <c r="S46" s="112">
        <f t="shared" si="25"/>
        <v>18.648267795942825</v>
      </c>
      <c r="T46" s="112"/>
      <c r="U46" s="107">
        <f t="shared" si="2"/>
        <v>173.48880052038857</v>
      </c>
      <c r="V46" s="112"/>
      <c r="W46" s="107"/>
      <c r="X46" s="112"/>
      <c r="Y46" s="107"/>
      <c r="Z46" s="112"/>
      <c r="AA46" s="112"/>
      <c r="AB46" s="112"/>
      <c r="AC46" s="112"/>
      <c r="AD46" s="112"/>
      <c r="AE46" s="112"/>
      <c r="AF46" s="112"/>
      <c r="AG46" s="112"/>
      <c r="AH46" s="112"/>
      <c r="AI46" s="107">
        <f t="shared" si="24"/>
        <v>168.70963358486804</v>
      </c>
      <c r="AJ46" s="112"/>
      <c r="AK46" s="112"/>
      <c r="AL46" s="107">
        <f t="shared" si="5"/>
        <v>168.70963358486804</v>
      </c>
      <c r="AM46" s="110">
        <f t="shared" si="0"/>
        <v>4.7791669355205215</v>
      </c>
      <c r="AN46" s="110">
        <f t="shared" si="6"/>
        <v>1515.3852528344269</v>
      </c>
      <c r="AO46" s="112"/>
      <c r="AP46" s="112"/>
      <c r="AQ46" s="112"/>
      <c r="AR46" s="112"/>
      <c r="AS46" s="112"/>
      <c r="AT46" s="112"/>
    </row>
    <row r="47" spans="4:46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J47" s="107">
        <f t="shared" si="14"/>
        <v>1515.3852528344269</v>
      </c>
      <c r="K47" s="107">
        <v>0.02</v>
      </c>
      <c r="L47" s="112"/>
      <c r="M47" s="112"/>
      <c r="N47" s="107">
        <f t="shared" si="20"/>
        <v>30.307705056688537</v>
      </c>
      <c r="O47" s="107">
        <f t="shared" ref="O47:Q53" si="26">O46*(1+$B$3)</f>
        <v>11.950265712261496</v>
      </c>
      <c r="P47" s="112">
        <f t="shared" si="26"/>
        <v>50.882160367772229</v>
      </c>
      <c r="Q47" s="112">
        <f t="shared" si="26"/>
        <v>42.438832446482515</v>
      </c>
      <c r="R47" s="107">
        <f t="shared" si="25"/>
        <v>21.421294804000734</v>
      </c>
      <c r="S47" s="112">
        <f t="shared" si="25"/>
        <v>18.648267795942825</v>
      </c>
      <c r="T47" s="112"/>
      <c r="U47" s="107">
        <f t="shared" si="2"/>
        <v>175.64852618314831</v>
      </c>
      <c r="V47" s="112"/>
      <c r="W47" s="107"/>
      <c r="X47" s="112"/>
      <c r="Y47" s="107"/>
      <c r="Z47" s="112"/>
      <c r="AA47" s="112"/>
      <c r="AB47" s="112"/>
      <c r="AC47" s="112"/>
      <c r="AD47" s="112"/>
      <c r="AE47" s="112"/>
      <c r="AF47" s="112"/>
      <c r="AG47" s="112"/>
      <c r="AH47" s="112"/>
      <c r="AI47" s="107">
        <f t="shared" si="24"/>
        <v>172.0838262565654</v>
      </c>
      <c r="AJ47" s="112"/>
      <c r="AK47" s="112"/>
      <c r="AL47" s="107">
        <f t="shared" si="5"/>
        <v>172.0838262565654</v>
      </c>
      <c r="AM47" s="110">
        <f t="shared" si="0"/>
        <v>3.5646999265829038</v>
      </c>
      <c r="AN47" s="110">
        <f t="shared" si="6"/>
        <v>1518.9499527610099</v>
      </c>
      <c r="AO47" s="112"/>
      <c r="AP47" s="112"/>
      <c r="AQ47" s="112"/>
      <c r="AR47" s="112"/>
      <c r="AS47" s="112"/>
      <c r="AT47" s="112"/>
    </row>
    <row r="48" spans="4:46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J48" s="107">
        <f t="shared" si="14"/>
        <v>1518.9499527610099</v>
      </c>
      <c r="K48" s="107">
        <v>0.02</v>
      </c>
      <c r="L48" s="112"/>
      <c r="M48" s="112"/>
      <c r="N48" s="107">
        <f t="shared" si="20"/>
        <v>30.378999055220198</v>
      </c>
      <c r="O48" s="107">
        <f t="shared" si="26"/>
        <v>12.189271026506725</v>
      </c>
      <c r="P48" s="112">
        <f t="shared" si="26"/>
        <v>51.899803575127677</v>
      </c>
      <c r="Q48" s="112">
        <f t="shared" si="26"/>
        <v>43.287609095412165</v>
      </c>
      <c r="R48" s="107"/>
      <c r="S48" s="112"/>
      <c r="T48" s="112"/>
      <c r="U48" s="107">
        <f t="shared" si="2"/>
        <v>137.75568275226675</v>
      </c>
      <c r="V48" s="112"/>
      <c r="W48" s="107"/>
      <c r="X48" s="112"/>
      <c r="Y48" s="107"/>
      <c r="Z48" s="112"/>
      <c r="AA48" s="112"/>
      <c r="AB48" s="112"/>
      <c r="AC48" s="112"/>
      <c r="AD48" s="112"/>
      <c r="AE48" s="112"/>
      <c r="AF48" s="112"/>
      <c r="AG48" s="112"/>
      <c r="AH48" s="112"/>
      <c r="AI48" s="107">
        <f t="shared" si="24"/>
        <v>175.5255027816967</v>
      </c>
      <c r="AJ48" s="112"/>
      <c r="AK48" s="112"/>
      <c r="AL48" s="107">
        <f t="shared" si="5"/>
        <v>175.5255027816967</v>
      </c>
      <c r="AM48" s="110">
        <f t="shared" si="0"/>
        <v>-37.769820029429951</v>
      </c>
      <c r="AN48" s="110">
        <f t="shared" si="6"/>
        <v>1481.18013273158</v>
      </c>
      <c r="AO48" s="112"/>
      <c r="AP48" s="112"/>
      <c r="AQ48" s="112"/>
      <c r="AR48" s="112"/>
      <c r="AS48" s="112"/>
      <c r="AT48" s="112"/>
    </row>
    <row r="49" spans="4:46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J49" s="107">
        <f t="shared" si="14"/>
        <v>1481.18013273158</v>
      </c>
      <c r="K49" s="107">
        <v>0.02</v>
      </c>
      <c r="L49" s="112"/>
      <c r="M49" s="112"/>
      <c r="N49" s="107">
        <f t="shared" si="20"/>
        <v>29.6236026546316</v>
      </c>
      <c r="O49" s="107">
        <f t="shared" si="26"/>
        <v>12.43305644703686</v>
      </c>
      <c r="P49" s="112">
        <f t="shared" si="26"/>
        <v>52.937799646630232</v>
      </c>
      <c r="Q49" s="112">
        <f t="shared" si="26"/>
        <v>44.153361277320407</v>
      </c>
      <c r="R49" s="107"/>
      <c r="S49" s="112"/>
      <c r="T49" s="112"/>
      <c r="U49" s="107">
        <f t="shared" si="2"/>
        <v>139.1478200256191</v>
      </c>
      <c r="V49" s="112"/>
      <c r="W49" s="107"/>
      <c r="X49" s="112"/>
      <c r="Y49" s="107"/>
      <c r="Z49" s="112"/>
      <c r="AA49" s="112"/>
      <c r="AB49" s="112"/>
      <c r="AC49" s="112"/>
      <c r="AD49" s="112"/>
      <c r="AE49" s="112"/>
      <c r="AF49" s="112"/>
      <c r="AG49" s="112"/>
      <c r="AH49" s="112"/>
      <c r="AI49" s="107">
        <f t="shared" si="24"/>
        <v>179.03601283733065</v>
      </c>
      <c r="AJ49" s="112"/>
      <c r="AK49" s="112"/>
      <c r="AL49" s="107">
        <f t="shared" si="5"/>
        <v>179.03601283733065</v>
      </c>
      <c r="AM49" s="110">
        <f t="shared" si="0"/>
        <v>-39.888192811711548</v>
      </c>
      <c r="AN49" s="110">
        <f t="shared" si="6"/>
        <v>1441.2919399198684</v>
      </c>
      <c r="AO49" s="112"/>
      <c r="AP49" s="112"/>
      <c r="AQ49" s="112"/>
      <c r="AR49" s="112"/>
      <c r="AS49" s="112"/>
      <c r="AT49" s="112"/>
    </row>
    <row r="50" spans="4:46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J50" s="107">
        <f t="shared" si="14"/>
        <v>1441.2919399198684</v>
      </c>
      <c r="K50" s="107">
        <v>0.02</v>
      </c>
      <c r="L50" s="112"/>
      <c r="M50" s="112"/>
      <c r="N50" s="107">
        <f t="shared" si="20"/>
        <v>28.825838798397367</v>
      </c>
      <c r="O50" s="107">
        <f t="shared" si="26"/>
        <v>12.681717575977597</v>
      </c>
      <c r="P50" s="112">
        <f t="shared" si="26"/>
        <v>53.996555639562835</v>
      </c>
      <c r="Q50" s="112">
        <f t="shared" si="26"/>
        <v>45.036428502866819</v>
      </c>
      <c r="R50" s="107"/>
      <c r="S50" s="112"/>
      <c r="T50" s="112"/>
      <c r="U50" s="107">
        <f t="shared" si="2"/>
        <v>140.54054051680461</v>
      </c>
      <c r="V50" s="112"/>
      <c r="W50" s="107"/>
      <c r="X50" s="112"/>
      <c r="Y50" s="107"/>
      <c r="Z50" s="112"/>
      <c r="AA50" s="112"/>
      <c r="AB50" s="112"/>
      <c r="AC50" s="112"/>
      <c r="AD50" s="112"/>
      <c r="AE50" s="112"/>
      <c r="AF50" s="112"/>
      <c r="AG50" s="112"/>
      <c r="AH50" s="112"/>
      <c r="AI50" s="107">
        <f t="shared" si="24"/>
        <v>182.61673309407726</v>
      </c>
      <c r="AJ50" s="112"/>
      <c r="AK50" s="112"/>
      <c r="AL50" s="107">
        <f t="shared" si="5"/>
        <v>182.61673309407726</v>
      </c>
      <c r="AM50" s="110">
        <f t="shared" si="0"/>
        <v>-42.07619257727265</v>
      </c>
      <c r="AN50" s="110">
        <f t="shared" si="6"/>
        <v>1399.2157473425957</v>
      </c>
      <c r="AO50" s="112"/>
      <c r="AP50" s="112"/>
      <c r="AQ50" s="112"/>
      <c r="AR50" s="112"/>
      <c r="AS50" s="112"/>
      <c r="AT50" s="112"/>
    </row>
    <row r="51" spans="4:46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J51" s="107">
        <f t="shared" si="14"/>
        <v>1399.2157473425957</v>
      </c>
      <c r="K51" s="107">
        <v>0.02</v>
      </c>
      <c r="L51" s="112"/>
      <c r="M51" s="112"/>
      <c r="N51" s="107">
        <f t="shared" si="20"/>
        <v>27.984314946851914</v>
      </c>
      <c r="O51" s="107">
        <f t="shared" si="26"/>
        <v>12.93535192749715</v>
      </c>
      <c r="P51" s="112">
        <f t="shared" si="26"/>
        <v>55.076486752354093</v>
      </c>
      <c r="Q51" s="112">
        <f t="shared" si="26"/>
        <v>45.937157072924158</v>
      </c>
      <c r="R51" s="107"/>
      <c r="S51" s="112"/>
      <c r="T51" s="112"/>
      <c r="U51" s="107">
        <f t="shared" si="2"/>
        <v>141.9333106996273</v>
      </c>
      <c r="V51" s="112"/>
      <c r="W51" s="107"/>
      <c r="X51" s="112"/>
      <c r="Y51" s="107"/>
      <c r="Z51" s="112"/>
      <c r="AA51" s="112"/>
      <c r="AB51" s="112"/>
      <c r="AC51" s="112"/>
      <c r="AD51" s="112"/>
      <c r="AE51" s="112"/>
      <c r="AF51" s="112"/>
      <c r="AG51" s="112"/>
      <c r="AH51" s="112"/>
      <c r="AI51" s="107">
        <f t="shared" si="24"/>
        <v>186.26906775595882</v>
      </c>
      <c r="AJ51" s="112"/>
      <c r="AK51" s="112"/>
      <c r="AL51" s="107">
        <f t="shared" si="5"/>
        <v>186.26906775595882</v>
      </c>
      <c r="AM51" s="110">
        <f t="shared" si="0"/>
        <v>-44.335757056331516</v>
      </c>
      <c r="AN51" s="110">
        <f t="shared" si="6"/>
        <v>1354.8799902862643</v>
      </c>
      <c r="AO51" s="112"/>
      <c r="AP51" s="112"/>
      <c r="AQ51" s="112"/>
      <c r="AR51" s="112"/>
      <c r="AS51" s="112"/>
      <c r="AT51" s="112"/>
    </row>
    <row r="52" spans="4:46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J52" s="107">
        <f t="shared" si="14"/>
        <v>1354.8799902862643</v>
      </c>
      <c r="K52" s="107">
        <v>0.02</v>
      </c>
      <c r="L52" s="112"/>
      <c r="M52" s="112"/>
      <c r="N52" s="107">
        <f t="shared" si="20"/>
        <v>27.097599805725284</v>
      </c>
      <c r="O52" s="107">
        <f t="shared" si="26"/>
        <v>13.194058966047093</v>
      </c>
      <c r="P52" s="112">
        <f t="shared" si="26"/>
        <v>56.178016487401173</v>
      </c>
      <c r="Q52" s="112">
        <f t="shared" si="26"/>
        <v>46.855900214382643</v>
      </c>
      <c r="R52" s="107"/>
      <c r="S52" s="112"/>
      <c r="T52" s="112"/>
      <c r="U52" s="107">
        <f t="shared" si="2"/>
        <v>143.3255754735562</v>
      </c>
      <c r="V52" s="112"/>
      <c r="W52" s="107"/>
      <c r="X52" s="112"/>
      <c r="Y52" s="107"/>
      <c r="Z52" s="112"/>
      <c r="AA52" s="112"/>
      <c r="AB52" s="112"/>
      <c r="AC52" s="112"/>
      <c r="AD52" s="112"/>
      <c r="AE52" s="112"/>
      <c r="AF52" s="112"/>
      <c r="AG52" s="112"/>
      <c r="AH52" s="112"/>
      <c r="AI52" s="107">
        <f t="shared" si="24"/>
        <v>189.99444911107798</v>
      </c>
      <c r="AJ52" s="112"/>
      <c r="AK52" s="112"/>
      <c r="AL52" s="107">
        <f t="shared" si="5"/>
        <v>189.99444911107798</v>
      </c>
      <c r="AM52" s="110">
        <f t="shared" si="0"/>
        <v>-46.668873637521784</v>
      </c>
      <c r="AN52" s="110">
        <f t="shared" si="6"/>
        <v>1308.2111166487425</v>
      </c>
      <c r="AO52" s="112"/>
      <c r="AP52" s="112"/>
      <c r="AQ52" s="112"/>
      <c r="AR52" s="112"/>
      <c r="AS52" s="112"/>
      <c r="AT52" s="112"/>
    </row>
    <row r="53" spans="4:46" x14ac:dyDescent="0.3">
      <c r="D53" s="94">
        <v>50</v>
      </c>
      <c r="E53" s="94">
        <v>90</v>
      </c>
      <c r="F53" s="94">
        <v>90</v>
      </c>
      <c r="G53" s="94">
        <v>63</v>
      </c>
      <c r="H53" s="94">
        <v>61</v>
      </c>
      <c r="J53" s="107">
        <f t="shared" si="14"/>
        <v>1308.2111166487425</v>
      </c>
      <c r="K53" s="107">
        <v>0.02</v>
      </c>
      <c r="L53" s="112"/>
      <c r="M53" s="112"/>
      <c r="N53" s="107">
        <f t="shared" si="20"/>
        <v>26.164222332974852</v>
      </c>
      <c r="O53" s="107">
        <f t="shared" si="26"/>
        <v>13.457940145368035</v>
      </c>
      <c r="P53" s="112">
        <f t="shared" si="26"/>
        <v>57.301576817149197</v>
      </c>
      <c r="Q53" s="112">
        <f t="shared" si="26"/>
        <v>47.793018218670298</v>
      </c>
      <c r="R53" s="112"/>
      <c r="S53" s="112"/>
      <c r="T53" s="112"/>
      <c r="U53" s="107">
        <f>SUM(L53:T53)</f>
        <v>144.7167575141624</v>
      </c>
      <c r="V53" s="112"/>
      <c r="W53" s="107"/>
      <c r="X53" s="112"/>
      <c r="Y53" s="107"/>
      <c r="Z53" s="112"/>
      <c r="AA53" s="112"/>
      <c r="AB53" s="112"/>
      <c r="AC53" s="112"/>
      <c r="AD53" s="112"/>
      <c r="AE53" s="112"/>
      <c r="AF53" s="112"/>
      <c r="AG53" s="112"/>
      <c r="AH53" s="112"/>
      <c r="AI53" s="107">
        <f t="shared" si="24"/>
        <v>193.79433809329956</v>
      </c>
      <c r="AJ53" s="112"/>
      <c r="AK53" s="112"/>
      <c r="AL53" s="107">
        <f t="shared" si="5"/>
        <v>193.79433809329956</v>
      </c>
      <c r="AM53" s="110">
        <f t="shared" si="0"/>
        <v>-49.077580579137162</v>
      </c>
      <c r="AN53" s="110">
        <f t="shared" si="6"/>
        <v>1259.1335360696053</v>
      </c>
      <c r="AO53" s="112"/>
      <c r="AP53" s="112"/>
      <c r="AQ53" s="112"/>
      <c r="AR53" s="112"/>
      <c r="AS53" s="112"/>
      <c r="AT53" s="112"/>
    </row>
  </sheetData>
  <mergeCells count="25">
    <mergeCell ref="I1:I2"/>
    <mergeCell ref="AP1:AQ1"/>
    <mergeCell ref="AR1:AS1"/>
    <mergeCell ref="Q1:Q2"/>
    <mergeCell ref="R1:R2"/>
    <mergeCell ref="S1:S2"/>
    <mergeCell ref="T1:T2"/>
    <mergeCell ref="U1:U2"/>
    <mergeCell ref="V1:AJ1"/>
    <mergeCell ref="A1:B1"/>
    <mergeCell ref="AK1:AK2"/>
    <mergeCell ref="AL1:AL2"/>
    <mergeCell ref="AM1:AM2"/>
    <mergeCell ref="AN1:AN2"/>
    <mergeCell ref="J1:J2"/>
    <mergeCell ref="K1:K2"/>
    <mergeCell ref="L1:M1"/>
    <mergeCell ref="N1:N2"/>
    <mergeCell ref="O1:O2"/>
    <mergeCell ref="P1:P2"/>
    <mergeCell ref="D1:D2"/>
    <mergeCell ref="E1:E2"/>
    <mergeCell ref="F1:F2"/>
    <mergeCell ref="G1:G2"/>
    <mergeCell ref="H1:H2"/>
  </mergeCells>
  <phoneticPr fontId="1" type="noConversion"/>
  <conditionalFormatting sqref="AN3:AN1048576">
    <cfRule type="cellIs" dxfId="1" priority="2" operator="lessThan">
      <formula>0</formula>
    </cfRule>
  </conditionalFormatting>
  <conditionalFormatting sqref="AN1:AN2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76DB-0F33-4690-9528-67EBDB7FD50B}">
  <dimension ref="A1:O20"/>
  <sheetViews>
    <sheetView workbookViewId="0"/>
  </sheetViews>
  <sheetFormatPr defaultColWidth="8.796875" defaultRowHeight="14" x14ac:dyDescent="0.3"/>
  <cols>
    <col min="1" max="1" width="17.5" style="9" customWidth="1"/>
    <col min="2" max="2" width="12.69921875" style="9" customWidth="1"/>
    <col min="3" max="3" width="5.296875" style="9" customWidth="1"/>
    <col min="4" max="6" width="10.5" style="9" bestFit="1" customWidth="1"/>
    <col min="7" max="7" width="10.19921875" style="9" customWidth="1"/>
    <col min="8" max="9" width="10.5" style="9" bestFit="1" customWidth="1"/>
    <col min="10" max="10" width="9.5" style="9" customWidth="1"/>
    <col min="11" max="11" width="10.5" style="9" customWidth="1"/>
    <col min="12" max="12" width="10.5" style="9" bestFit="1" customWidth="1"/>
    <col min="13" max="13" width="12.09765625" style="9" customWidth="1"/>
    <col min="14" max="15" width="10.5" style="9" bestFit="1" customWidth="1"/>
    <col min="16" max="16384" width="8.796875" style="9"/>
  </cols>
  <sheetData>
    <row r="1" spans="1:15" ht="29" x14ac:dyDescent="0.3">
      <c r="A1" s="157" t="s">
        <v>358</v>
      </c>
      <c r="B1" s="157" t="s">
        <v>359</v>
      </c>
      <c r="D1" s="157" t="s">
        <v>360</v>
      </c>
      <c r="E1" s="157" t="s">
        <v>361</v>
      </c>
      <c r="F1" s="158" t="s">
        <v>362</v>
      </c>
      <c r="G1" s="158" t="s">
        <v>363</v>
      </c>
      <c r="H1" s="157" t="s">
        <v>364</v>
      </c>
      <c r="I1" s="158" t="s">
        <v>365</v>
      </c>
      <c r="J1" s="157" t="s">
        <v>366</v>
      </c>
      <c r="K1" s="157" t="s">
        <v>367</v>
      </c>
      <c r="L1" s="158" t="s">
        <v>368</v>
      </c>
      <c r="M1" s="158" t="s">
        <v>369</v>
      </c>
      <c r="N1" s="157" t="s">
        <v>370</v>
      </c>
      <c r="O1" s="158" t="s">
        <v>371</v>
      </c>
    </row>
    <row r="2" spans="1:15" ht="14.5" x14ac:dyDescent="0.3">
      <c r="A2" s="9" t="s">
        <v>372</v>
      </c>
      <c r="B2" s="159">
        <v>0.01</v>
      </c>
      <c r="D2" s="9">
        <v>0</v>
      </c>
      <c r="F2" s="160"/>
      <c r="G2" s="161"/>
      <c r="H2" s="160">
        <v>100</v>
      </c>
      <c r="I2" s="160">
        <v>5</v>
      </c>
      <c r="J2" s="162">
        <f>H2+I2</f>
        <v>105</v>
      </c>
      <c r="K2" s="160">
        <v>100</v>
      </c>
      <c r="L2" s="160"/>
      <c r="M2" s="162">
        <f>K2+L2</f>
        <v>100</v>
      </c>
      <c r="N2" s="162">
        <f>J2-M2</f>
        <v>5</v>
      </c>
      <c r="O2" s="160">
        <v>200</v>
      </c>
    </row>
    <row r="3" spans="1:15" ht="14.5" x14ac:dyDescent="0.3">
      <c r="A3" s="9" t="s">
        <v>373</v>
      </c>
      <c r="B3" s="159">
        <v>0.02</v>
      </c>
      <c r="D3" s="163">
        <v>1</v>
      </c>
      <c r="F3" s="162">
        <f>O2</f>
        <v>200</v>
      </c>
      <c r="G3" s="164">
        <f>$B$4</f>
        <v>0.05</v>
      </c>
      <c r="H3" s="165">
        <f>H2*(1+$B$2)</f>
        <v>101</v>
      </c>
      <c r="I3" s="162">
        <f>F3*G3</f>
        <v>10</v>
      </c>
      <c r="J3" s="162">
        <f t="shared" ref="J3:J12" si="0">H3+I3</f>
        <v>111</v>
      </c>
      <c r="K3" s="165">
        <f>K2*(1+$B$3)</f>
        <v>102</v>
      </c>
      <c r="L3" s="160"/>
      <c r="M3" s="162">
        <f t="shared" ref="M3:M12" si="1">K3+L3</f>
        <v>102</v>
      </c>
      <c r="N3" s="162">
        <f t="shared" ref="N3:N12" si="2">J3-M3</f>
        <v>9</v>
      </c>
      <c r="O3" s="162">
        <f>F3+N3</f>
        <v>209</v>
      </c>
    </row>
    <row r="4" spans="1:15" ht="14.5" x14ac:dyDescent="0.3">
      <c r="A4" s="9" t="s">
        <v>374</v>
      </c>
      <c r="B4" s="159">
        <v>0.05</v>
      </c>
      <c r="D4" s="163">
        <v>2</v>
      </c>
      <c r="F4" s="162">
        <f t="shared" ref="F4:F12" si="3">O3</f>
        <v>209</v>
      </c>
      <c r="G4" s="164">
        <f t="shared" ref="G4:G12" si="4">$B$4</f>
        <v>0.05</v>
      </c>
      <c r="H4" s="165">
        <f t="shared" ref="H4:H12" si="5">H3*(1+$B$2)</f>
        <v>102.01</v>
      </c>
      <c r="I4" s="162">
        <f t="shared" ref="I4:I12" si="6">F4*G4</f>
        <v>10.450000000000001</v>
      </c>
      <c r="J4" s="162">
        <f t="shared" si="0"/>
        <v>112.46000000000001</v>
      </c>
      <c r="K4" s="165">
        <f t="shared" ref="K4:K12" si="7">K3*(1+$B$3)</f>
        <v>104.04</v>
      </c>
      <c r="L4" s="160"/>
      <c r="M4" s="162">
        <f t="shared" si="1"/>
        <v>104.04</v>
      </c>
      <c r="N4" s="162">
        <f t="shared" si="2"/>
        <v>8.4200000000000017</v>
      </c>
      <c r="O4" s="162">
        <f t="shared" ref="O4:O12" si="8">F4+N4</f>
        <v>217.42000000000002</v>
      </c>
    </row>
    <row r="5" spans="1:15" ht="14.5" x14ac:dyDescent="0.3">
      <c r="A5" s="9" t="s">
        <v>375</v>
      </c>
      <c r="B5" s="9">
        <v>10</v>
      </c>
      <c r="D5" s="163">
        <v>3</v>
      </c>
      <c r="E5" s="9" t="s">
        <v>376</v>
      </c>
      <c r="F5" s="162">
        <f t="shared" si="3"/>
        <v>217.42000000000002</v>
      </c>
      <c r="G5" s="164">
        <f t="shared" si="4"/>
        <v>0.05</v>
      </c>
      <c r="H5" s="165">
        <f t="shared" si="5"/>
        <v>103.0301</v>
      </c>
      <c r="I5" s="162">
        <f t="shared" si="6"/>
        <v>10.871000000000002</v>
      </c>
      <c r="J5" s="162">
        <f t="shared" si="0"/>
        <v>113.90110000000001</v>
      </c>
      <c r="K5" s="165">
        <f t="shared" si="7"/>
        <v>106.1208</v>
      </c>
      <c r="L5" s="162">
        <f>FV(B3,D5,,-B5)</f>
        <v>10.612079999999999</v>
      </c>
      <c r="M5" s="162">
        <f t="shared" si="1"/>
        <v>116.73287999999999</v>
      </c>
      <c r="N5" s="162">
        <f t="shared" si="2"/>
        <v>-2.8317799999999806</v>
      </c>
      <c r="O5" s="162">
        <f t="shared" si="8"/>
        <v>214.58822000000004</v>
      </c>
    </row>
    <row r="6" spans="1:15" ht="14.5" x14ac:dyDescent="0.3">
      <c r="A6" s="9" t="s">
        <v>377</v>
      </c>
      <c r="B6" s="9">
        <v>80</v>
      </c>
      <c r="D6" s="163">
        <v>4</v>
      </c>
      <c r="F6" s="162">
        <f t="shared" si="3"/>
        <v>214.58822000000004</v>
      </c>
      <c r="G6" s="164">
        <f t="shared" si="4"/>
        <v>0.05</v>
      </c>
      <c r="H6" s="165">
        <f t="shared" si="5"/>
        <v>104.060401</v>
      </c>
      <c r="I6" s="162">
        <f t="shared" si="6"/>
        <v>10.729411000000002</v>
      </c>
      <c r="J6" s="162">
        <f t="shared" si="0"/>
        <v>114.789812</v>
      </c>
      <c r="K6" s="165">
        <f t="shared" si="7"/>
        <v>108.243216</v>
      </c>
      <c r="L6" s="160"/>
      <c r="M6" s="162">
        <f t="shared" si="1"/>
        <v>108.243216</v>
      </c>
      <c r="N6" s="162">
        <f t="shared" si="2"/>
        <v>6.5465959999999939</v>
      </c>
      <c r="O6" s="162">
        <f t="shared" si="8"/>
        <v>221.13481600000003</v>
      </c>
    </row>
    <row r="7" spans="1:15" x14ac:dyDescent="0.3">
      <c r="D7" s="163">
        <v>5</v>
      </c>
      <c r="F7" s="162">
        <f t="shared" si="3"/>
        <v>221.13481600000003</v>
      </c>
      <c r="G7" s="164">
        <f t="shared" si="4"/>
        <v>0.05</v>
      </c>
      <c r="H7" s="165">
        <f t="shared" si="5"/>
        <v>105.10100500999999</v>
      </c>
      <c r="I7" s="162">
        <f t="shared" si="6"/>
        <v>11.056740800000002</v>
      </c>
      <c r="J7" s="162">
        <f t="shared" si="0"/>
        <v>116.15774580999999</v>
      </c>
      <c r="K7" s="165">
        <f t="shared" si="7"/>
        <v>110.40808032000001</v>
      </c>
      <c r="L7" s="160"/>
      <c r="M7" s="162">
        <f t="shared" si="1"/>
        <v>110.40808032000001</v>
      </c>
      <c r="N7" s="162">
        <f t="shared" si="2"/>
        <v>5.7496654899999839</v>
      </c>
      <c r="O7" s="162">
        <f t="shared" si="8"/>
        <v>226.88448149000001</v>
      </c>
    </row>
    <row r="8" spans="1:15" ht="14.5" x14ac:dyDescent="0.3">
      <c r="D8" s="163">
        <v>6</v>
      </c>
      <c r="E8" s="9" t="s">
        <v>378</v>
      </c>
      <c r="F8" s="162">
        <f t="shared" si="3"/>
        <v>226.88448149000001</v>
      </c>
      <c r="G8" s="164">
        <f t="shared" si="4"/>
        <v>0.05</v>
      </c>
      <c r="H8" s="165">
        <f t="shared" si="5"/>
        <v>106.1520150601</v>
      </c>
      <c r="I8" s="162">
        <f t="shared" si="6"/>
        <v>11.344224074500001</v>
      </c>
      <c r="J8" s="162">
        <f t="shared" si="0"/>
        <v>117.4962391346</v>
      </c>
      <c r="K8" s="165">
        <f t="shared" si="7"/>
        <v>112.61624192640001</v>
      </c>
      <c r="L8" s="162">
        <f>FV(B3,D8,,-B6)</f>
        <v>90.092993541120009</v>
      </c>
      <c r="M8" s="162">
        <f t="shared" si="1"/>
        <v>202.70923546752002</v>
      </c>
      <c r="N8" s="162">
        <f t="shared" si="2"/>
        <v>-85.212996332920014</v>
      </c>
      <c r="O8" s="162">
        <f t="shared" si="8"/>
        <v>141.67148515707999</v>
      </c>
    </row>
    <row r="9" spans="1:15" x14ac:dyDescent="0.3">
      <c r="D9" s="163">
        <v>7</v>
      </c>
      <c r="F9" s="162">
        <f t="shared" si="3"/>
        <v>141.67148515707999</v>
      </c>
      <c r="G9" s="164">
        <f t="shared" si="4"/>
        <v>0.05</v>
      </c>
      <c r="H9" s="165">
        <f t="shared" si="5"/>
        <v>107.213535210701</v>
      </c>
      <c r="I9" s="162">
        <f t="shared" si="6"/>
        <v>7.083574257854</v>
      </c>
      <c r="J9" s="162">
        <f t="shared" si="0"/>
        <v>114.29710946855499</v>
      </c>
      <c r="K9" s="165">
        <f t="shared" si="7"/>
        <v>114.868566764928</v>
      </c>
      <c r="L9" s="160"/>
      <c r="M9" s="162">
        <f t="shared" si="1"/>
        <v>114.868566764928</v>
      </c>
      <c r="N9" s="162">
        <f t="shared" si="2"/>
        <v>-0.57145729637301201</v>
      </c>
      <c r="O9" s="162">
        <f t="shared" si="8"/>
        <v>141.10002786070697</v>
      </c>
    </row>
    <row r="10" spans="1:15" x14ac:dyDescent="0.3">
      <c r="D10" s="163">
        <v>8</v>
      </c>
      <c r="F10" s="162">
        <f t="shared" si="3"/>
        <v>141.10002786070697</v>
      </c>
      <c r="G10" s="164">
        <f t="shared" si="4"/>
        <v>0.05</v>
      </c>
      <c r="H10" s="165">
        <f t="shared" si="5"/>
        <v>108.28567056280801</v>
      </c>
      <c r="I10" s="162">
        <f t="shared" si="6"/>
        <v>7.055001393035349</v>
      </c>
      <c r="J10" s="162">
        <f t="shared" si="0"/>
        <v>115.34067195584336</v>
      </c>
      <c r="K10" s="165">
        <f t="shared" si="7"/>
        <v>117.16593810022657</v>
      </c>
      <c r="L10" s="160"/>
      <c r="M10" s="162">
        <f t="shared" si="1"/>
        <v>117.16593810022657</v>
      </c>
      <c r="N10" s="162">
        <f t="shared" si="2"/>
        <v>-1.8252661443832068</v>
      </c>
      <c r="O10" s="162">
        <f t="shared" si="8"/>
        <v>139.27476171632378</v>
      </c>
    </row>
    <row r="11" spans="1:15" x14ac:dyDescent="0.3">
      <c r="D11" s="163">
        <v>9</v>
      </c>
      <c r="F11" s="162">
        <f t="shared" si="3"/>
        <v>139.27476171632378</v>
      </c>
      <c r="G11" s="164">
        <f t="shared" si="4"/>
        <v>0.05</v>
      </c>
      <c r="H11" s="165">
        <f t="shared" si="5"/>
        <v>109.36852726843608</v>
      </c>
      <c r="I11" s="162">
        <f t="shared" si="6"/>
        <v>6.963738085816189</v>
      </c>
      <c r="J11" s="162">
        <f t="shared" si="0"/>
        <v>116.33226535425227</v>
      </c>
      <c r="K11" s="165">
        <f t="shared" si="7"/>
        <v>119.5092568622311</v>
      </c>
      <c r="L11" s="160"/>
      <c r="M11" s="162">
        <f t="shared" si="1"/>
        <v>119.5092568622311</v>
      </c>
      <c r="N11" s="162">
        <f t="shared" si="2"/>
        <v>-3.1769915079788262</v>
      </c>
      <c r="O11" s="162">
        <f t="shared" si="8"/>
        <v>136.09777020834497</v>
      </c>
    </row>
    <row r="12" spans="1:15" x14ac:dyDescent="0.3">
      <c r="D12" s="163">
        <v>10</v>
      </c>
      <c r="E12" s="166"/>
      <c r="F12" s="162">
        <f t="shared" si="3"/>
        <v>136.09777020834497</v>
      </c>
      <c r="G12" s="164">
        <f t="shared" si="4"/>
        <v>0.05</v>
      </c>
      <c r="H12" s="165">
        <f t="shared" si="5"/>
        <v>110.46221254112045</v>
      </c>
      <c r="I12" s="162">
        <f t="shared" si="6"/>
        <v>6.804888510417249</v>
      </c>
      <c r="J12" s="162">
        <f t="shared" si="0"/>
        <v>117.26710105153769</v>
      </c>
      <c r="K12" s="165">
        <f t="shared" si="7"/>
        <v>121.89944199947573</v>
      </c>
      <c r="L12" s="167"/>
      <c r="M12" s="162">
        <f t="shared" si="1"/>
        <v>121.89944199947573</v>
      </c>
      <c r="N12" s="162">
        <f t="shared" si="2"/>
        <v>-4.6323409479380331</v>
      </c>
      <c r="O12" s="162">
        <f t="shared" si="8"/>
        <v>131.46542926040695</v>
      </c>
    </row>
    <row r="15" spans="1:15" ht="14.5" x14ac:dyDescent="0.3">
      <c r="D15" s="9" t="s">
        <v>379</v>
      </c>
    </row>
    <row r="16" spans="1:15" ht="14.5" x14ac:dyDescent="0.3">
      <c r="D16" s="9" t="s">
        <v>380</v>
      </c>
    </row>
    <row r="17" spans="4:4" ht="14.5" x14ac:dyDescent="0.3">
      <c r="D17" s="9" t="s">
        <v>381</v>
      </c>
    </row>
    <row r="18" spans="4:4" ht="14.5" x14ac:dyDescent="0.3">
      <c r="D18" s="9" t="s">
        <v>382</v>
      </c>
    </row>
    <row r="19" spans="4:4" ht="14.5" x14ac:dyDescent="0.3">
      <c r="D19" s="9" t="s">
        <v>383</v>
      </c>
    </row>
    <row r="20" spans="4:4" ht="14.5" x14ac:dyDescent="0.3">
      <c r="D20" s="9" t="s">
        <v>384</v>
      </c>
    </row>
  </sheetData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1FF7-826D-4FC1-8051-38A0955AA042}">
  <dimension ref="A1:O20"/>
  <sheetViews>
    <sheetView workbookViewId="0"/>
  </sheetViews>
  <sheetFormatPr defaultColWidth="8.796875" defaultRowHeight="14" x14ac:dyDescent="0.3"/>
  <cols>
    <col min="1" max="1" width="17.5" style="9" customWidth="1"/>
    <col min="2" max="2" width="12.69921875" style="9" customWidth="1"/>
    <col min="3" max="3" width="5.296875" style="9" customWidth="1"/>
    <col min="4" max="6" width="10.5" style="9" bestFit="1" customWidth="1"/>
    <col min="7" max="7" width="10.19921875" style="9" customWidth="1"/>
    <col min="8" max="9" width="10.5" style="9" bestFit="1" customWidth="1"/>
    <col min="10" max="10" width="9.5" style="9" customWidth="1"/>
    <col min="11" max="11" width="10.5" style="9" customWidth="1"/>
    <col min="12" max="12" width="10.5" style="9" bestFit="1" customWidth="1"/>
    <col min="13" max="13" width="12.09765625" style="9" customWidth="1"/>
    <col min="14" max="15" width="10.5" style="9" bestFit="1" customWidth="1"/>
    <col min="16" max="16384" width="8.796875" style="9"/>
  </cols>
  <sheetData>
    <row r="1" spans="1:15" ht="29" x14ac:dyDescent="0.3">
      <c r="A1" s="157" t="s">
        <v>358</v>
      </c>
      <c r="B1" s="157" t="s">
        <v>359</v>
      </c>
      <c r="D1" s="157" t="s">
        <v>360</v>
      </c>
      <c r="E1" s="157" t="s">
        <v>361</v>
      </c>
      <c r="F1" s="158" t="s">
        <v>362</v>
      </c>
      <c r="G1" s="158" t="s">
        <v>363</v>
      </c>
      <c r="H1" s="157" t="s">
        <v>364</v>
      </c>
      <c r="I1" s="158" t="s">
        <v>365</v>
      </c>
      <c r="J1" s="157" t="s">
        <v>366</v>
      </c>
      <c r="K1" s="157" t="s">
        <v>367</v>
      </c>
      <c r="L1" s="158" t="s">
        <v>368</v>
      </c>
      <c r="M1" s="158" t="s">
        <v>369</v>
      </c>
      <c r="N1" s="157" t="s">
        <v>370</v>
      </c>
      <c r="O1" s="158" t="s">
        <v>371</v>
      </c>
    </row>
    <row r="2" spans="1:15" ht="14.5" x14ac:dyDescent="0.3">
      <c r="A2" s="9" t="s">
        <v>372</v>
      </c>
      <c r="B2" s="159">
        <v>0.01</v>
      </c>
      <c r="D2" s="9">
        <v>0</v>
      </c>
      <c r="F2" s="168"/>
      <c r="G2" s="169"/>
      <c r="H2" s="168">
        <v>100</v>
      </c>
      <c r="I2" s="168">
        <v>5</v>
      </c>
      <c r="J2" s="170"/>
      <c r="K2" s="168">
        <v>100</v>
      </c>
      <c r="L2" s="168"/>
      <c r="M2" s="170"/>
      <c r="N2" s="170"/>
      <c r="O2" s="168">
        <v>200</v>
      </c>
    </row>
    <row r="3" spans="1:15" ht="14.5" x14ac:dyDescent="0.3">
      <c r="A3" s="9" t="s">
        <v>373</v>
      </c>
      <c r="B3" s="159">
        <v>0.02</v>
      </c>
      <c r="D3" s="163"/>
      <c r="F3" s="170"/>
      <c r="G3" s="171"/>
      <c r="H3" s="172"/>
      <c r="I3" s="170"/>
      <c r="J3" s="173"/>
      <c r="K3" s="172"/>
      <c r="L3" s="168"/>
      <c r="M3" s="173"/>
      <c r="N3" s="173"/>
      <c r="O3" s="170"/>
    </row>
    <row r="4" spans="1:15" ht="14.5" x14ac:dyDescent="0.3">
      <c r="A4" s="9" t="s">
        <v>374</v>
      </c>
      <c r="B4" s="159">
        <v>0.05</v>
      </c>
      <c r="D4" s="163"/>
      <c r="F4" s="173"/>
      <c r="G4" s="174"/>
      <c r="H4" s="173"/>
      <c r="I4" s="173"/>
      <c r="J4" s="173"/>
      <c r="K4" s="173"/>
      <c r="L4" s="173"/>
      <c r="M4" s="173"/>
      <c r="N4" s="173"/>
      <c r="O4" s="173"/>
    </row>
    <row r="5" spans="1:15" ht="14.5" x14ac:dyDescent="0.3">
      <c r="A5" s="9" t="s">
        <v>375</v>
      </c>
      <c r="B5" s="9">
        <v>10</v>
      </c>
      <c r="D5" s="163"/>
      <c r="E5" s="9" t="s">
        <v>376</v>
      </c>
      <c r="F5" s="173"/>
      <c r="G5" s="174"/>
      <c r="H5" s="173"/>
      <c r="I5" s="173"/>
      <c r="J5" s="173"/>
      <c r="K5" s="173"/>
      <c r="L5" s="173"/>
      <c r="M5" s="173"/>
      <c r="N5" s="173"/>
      <c r="O5" s="173"/>
    </row>
    <row r="6" spans="1:15" ht="14.5" x14ac:dyDescent="0.3">
      <c r="A6" s="9" t="s">
        <v>377</v>
      </c>
      <c r="B6" s="9">
        <v>80</v>
      </c>
      <c r="D6" s="163"/>
      <c r="F6" s="173"/>
      <c r="G6" s="174"/>
      <c r="H6" s="173"/>
      <c r="I6" s="173"/>
      <c r="J6" s="173"/>
      <c r="K6" s="173"/>
      <c r="L6" s="173"/>
      <c r="M6" s="173"/>
      <c r="N6" s="173"/>
      <c r="O6" s="173"/>
    </row>
    <row r="7" spans="1:15" x14ac:dyDescent="0.3">
      <c r="D7" s="163"/>
      <c r="F7" s="173"/>
      <c r="G7" s="174"/>
      <c r="H7" s="173"/>
      <c r="I7" s="173"/>
      <c r="J7" s="173"/>
      <c r="K7" s="173"/>
      <c r="L7" s="173"/>
      <c r="M7" s="173"/>
      <c r="N7" s="173"/>
      <c r="O7" s="173"/>
    </row>
    <row r="8" spans="1:15" ht="14.5" x14ac:dyDescent="0.3">
      <c r="D8" s="163"/>
      <c r="E8" s="9" t="s">
        <v>378</v>
      </c>
      <c r="F8" s="173"/>
      <c r="G8" s="174"/>
      <c r="H8" s="173"/>
      <c r="I8" s="173"/>
      <c r="J8" s="173"/>
      <c r="K8" s="173"/>
      <c r="L8" s="173"/>
      <c r="M8" s="173"/>
      <c r="N8" s="173"/>
      <c r="O8" s="173"/>
    </row>
    <row r="9" spans="1:15" x14ac:dyDescent="0.3">
      <c r="D9" s="163"/>
      <c r="F9" s="173"/>
      <c r="G9" s="174"/>
      <c r="H9" s="173"/>
      <c r="I9" s="173"/>
      <c r="J9" s="173"/>
      <c r="K9" s="173"/>
      <c r="L9" s="173"/>
      <c r="M9" s="173"/>
      <c r="N9" s="173"/>
      <c r="O9" s="173"/>
    </row>
    <row r="10" spans="1:15" x14ac:dyDescent="0.3">
      <c r="D10" s="163"/>
      <c r="F10" s="173"/>
      <c r="G10" s="174"/>
      <c r="H10" s="173"/>
      <c r="I10" s="173"/>
      <c r="J10" s="173"/>
      <c r="K10" s="173"/>
      <c r="L10" s="173"/>
      <c r="M10" s="173"/>
      <c r="N10" s="173"/>
      <c r="O10" s="173"/>
    </row>
    <row r="11" spans="1:15" x14ac:dyDescent="0.3">
      <c r="D11" s="163"/>
      <c r="F11" s="173"/>
      <c r="G11" s="174"/>
      <c r="H11" s="173"/>
      <c r="I11" s="173"/>
      <c r="J11" s="173"/>
      <c r="K11" s="173"/>
      <c r="L11" s="173"/>
      <c r="M11" s="173"/>
      <c r="N11" s="173"/>
      <c r="O11" s="173"/>
    </row>
    <row r="12" spans="1:15" x14ac:dyDescent="0.3">
      <c r="D12" s="163"/>
      <c r="E12" s="166"/>
      <c r="F12" s="173"/>
      <c r="G12" s="174"/>
      <c r="H12" s="173"/>
      <c r="I12" s="173"/>
      <c r="J12" s="173"/>
      <c r="K12" s="173"/>
      <c r="L12" s="175"/>
      <c r="M12" s="173"/>
      <c r="N12" s="173"/>
      <c r="O12" s="173"/>
    </row>
    <row r="15" spans="1:15" ht="14.5" x14ac:dyDescent="0.3">
      <c r="D15" s="9" t="s">
        <v>379</v>
      </c>
    </row>
    <row r="16" spans="1:15" ht="14.5" x14ac:dyDescent="0.3">
      <c r="D16" s="9" t="s">
        <v>380</v>
      </c>
    </row>
    <row r="17" spans="4:4" ht="14.5" x14ac:dyDescent="0.3">
      <c r="D17" s="9" t="s">
        <v>381</v>
      </c>
    </row>
    <row r="18" spans="4:4" ht="14.5" x14ac:dyDescent="0.3">
      <c r="D18" s="9" t="s">
        <v>382</v>
      </c>
    </row>
    <row r="19" spans="4:4" ht="14.5" x14ac:dyDescent="0.3">
      <c r="D19" s="9" t="s">
        <v>383</v>
      </c>
    </row>
    <row r="20" spans="4:4" ht="14.5" x14ac:dyDescent="0.3">
      <c r="D20" s="9" t="s">
        <v>384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zoomScaleNormal="100" workbookViewId="0">
      <selection sqref="A1:C1"/>
    </sheetView>
  </sheetViews>
  <sheetFormatPr defaultRowHeight="14.5" x14ac:dyDescent="0.3"/>
  <cols>
    <col min="1" max="1" width="19.296875" customWidth="1"/>
    <col min="2" max="2" width="10.296875" customWidth="1"/>
    <col min="3" max="3" width="13.3984375" customWidth="1"/>
    <col min="4" max="4" width="56" customWidth="1"/>
    <col min="5" max="5" width="20.19921875" customWidth="1"/>
    <col min="8" max="8" width="36.3984375" customWidth="1"/>
    <col min="9" max="9" width="9.8984375" bestFit="1" customWidth="1"/>
    <col min="10" max="10" width="13.19921875" bestFit="1" customWidth="1"/>
    <col min="11" max="11" width="15" bestFit="1" customWidth="1"/>
  </cols>
  <sheetData>
    <row r="1" spans="1:11" x14ac:dyDescent="0.3">
      <c r="A1" s="181" t="s">
        <v>269</v>
      </c>
      <c r="B1" s="181"/>
      <c r="C1" s="181"/>
    </row>
    <row r="2" spans="1:11" x14ac:dyDescent="0.3">
      <c r="A2" s="151" t="s">
        <v>200</v>
      </c>
      <c r="B2" s="152" t="s">
        <v>119</v>
      </c>
      <c r="C2" s="151" t="s">
        <v>120</v>
      </c>
      <c r="D2" s="151" t="s">
        <v>268</v>
      </c>
      <c r="E2" s="151" t="s">
        <v>270</v>
      </c>
      <c r="J2" s="148"/>
      <c r="K2" s="148"/>
    </row>
    <row r="3" spans="1:11" ht="43.5" x14ac:dyDescent="0.3">
      <c r="A3" s="40" t="s">
        <v>117</v>
      </c>
      <c r="B3" s="56">
        <v>40</v>
      </c>
      <c r="C3" s="40" t="s">
        <v>121</v>
      </c>
      <c r="D3" s="83" t="s">
        <v>281</v>
      </c>
      <c r="E3" s="86">
        <f>41*45800*0.0155*12/10000</f>
        <v>34.927080000000004</v>
      </c>
    </row>
    <row r="4" spans="1:11" ht="43.5" x14ac:dyDescent="0.3">
      <c r="A4" s="40" t="s">
        <v>118</v>
      </c>
      <c r="B4" s="56">
        <v>40</v>
      </c>
      <c r="C4" s="40" t="s">
        <v>122</v>
      </c>
      <c r="D4" s="83" t="s">
        <v>282</v>
      </c>
      <c r="E4" s="86">
        <f>41*38200*0.0155*12/10000</f>
        <v>29.131319999999995</v>
      </c>
      <c r="I4" s="149"/>
      <c r="J4" s="149"/>
    </row>
    <row r="5" spans="1:11" x14ac:dyDescent="0.3">
      <c r="A5" s="40" t="s">
        <v>143</v>
      </c>
      <c r="B5" s="56">
        <v>13</v>
      </c>
      <c r="C5" s="40" t="s">
        <v>123</v>
      </c>
      <c r="D5" s="40"/>
      <c r="I5" s="149"/>
    </row>
    <row r="6" spans="1:11" x14ac:dyDescent="0.3">
      <c r="A6" s="84" t="s">
        <v>142</v>
      </c>
      <c r="B6" s="85">
        <v>11</v>
      </c>
      <c r="C6" s="84" t="s">
        <v>124</v>
      </c>
      <c r="D6" s="84"/>
      <c r="E6" s="49"/>
      <c r="I6" s="150"/>
    </row>
    <row r="9" spans="1:11" x14ac:dyDescent="0.3">
      <c r="A9" s="181" t="s">
        <v>271</v>
      </c>
      <c r="B9" s="181"/>
      <c r="C9" s="181"/>
    </row>
    <row r="10" spans="1:11" x14ac:dyDescent="0.3">
      <c r="A10" s="153" t="s">
        <v>272</v>
      </c>
      <c r="B10" s="153" t="s">
        <v>273</v>
      </c>
      <c r="C10" s="153"/>
      <c r="D10" s="153"/>
      <c r="E10" s="151"/>
    </row>
    <row r="11" spans="1:11" x14ac:dyDescent="0.3">
      <c r="A11" t="s">
        <v>125</v>
      </c>
      <c r="B11" t="s">
        <v>356</v>
      </c>
    </row>
    <row r="12" spans="1:11" x14ac:dyDescent="0.3">
      <c r="A12" t="s">
        <v>126</v>
      </c>
      <c r="B12" t="s">
        <v>274</v>
      </c>
    </row>
    <row r="13" spans="1:11" x14ac:dyDescent="0.3">
      <c r="A13" s="49" t="s">
        <v>127</v>
      </c>
      <c r="B13" s="49" t="s">
        <v>275</v>
      </c>
      <c r="C13" s="49"/>
      <c r="D13" s="49"/>
      <c r="E13" s="49"/>
    </row>
    <row r="14" spans="1:11" x14ac:dyDescent="0.3">
      <c r="A14" s="65"/>
      <c r="B14" s="65"/>
      <c r="C14" s="65"/>
      <c r="D14" s="65"/>
    </row>
    <row r="16" spans="1:11" x14ac:dyDescent="0.3">
      <c r="A16" s="181" t="s">
        <v>276</v>
      </c>
      <c r="B16" s="181"/>
      <c r="C16" s="181"/>
    </row>
    <row r="17" spans="1:5" x14ac:dyDescent="0.3">
      <c r="A17" s="153" t="s">
        <v>277</v>
      </c>
      <c r="B17" s="153" t="s">
        <v>273</v>
      </c>
      <c r="C17" s="153"/>
      <c r="D17" s="153"/>
      <c r="E17" s="151"/>
    </row>
    <row r="18" spans="1:5" x14ac:dyDescent="0.3">
      <c r="A18" t="s">
        <v>134</v>
      </c>
      <c r="B18" t="s">
        <v>279</v>
      </c>
    </row>
    <row r="19" spans="1:5" x14ac:dyDescent="0.3">
      <c r="A19" t="s">
        <v>150</v>
      </c>
      <c r="B19" t="s">
        <v>278</v>
      </c>
    </row>
    <row r="20" spans="1:5" x14ac:dyDescent="0.3">
      <c r="A20" s="49" t="s">
        <v>151</v>
      </c>
      <c r="B20" s="49" t="s">
        <v>280</v>
      </c>
      <c r="C20" s="49"/>
      <c r="D20" s="49"/>
      <c r="E20" s="49"/>
    </row>
    <row r="21" spans="1:5" x14ac:dyDescent="0.3">
      <c r="A21" s="65"/>
      <c r="B21" s="65"/>
      <c r="C21" s="65"/>
      <c r="D21" s="65"/>
    </row>
    <row r="22" spans="1:5" x14ac:dyDescent="0.3">
      <c r="A22" s="65"/>
      <c r="B22" s="65"/>
      <c r="C22" s="65"/>
      <c r="D22" s="65"/>
    </row>
    <row r="23" spans="1:5" x14ac:dyDescent="0.3">
      <c r="A23" s="181" t="s">
        <v>283</v>
      </c>
      <c r="B23" s="181"/>
      <c r="C23" s="181"/>
    </row>
    <row r="24" spans="1:5" x14ac:dyDescent="0.3">
      <c r="A24" s="153" t="s">
        <v>272</v>
      </c>
      <c r="B24" s="153" t="s">
        <v>273</v>
      </c>
      <c r="C24" s="153"/>
      <c r="D24" s="153"/>
      <c r="E24" s="154"/>
    </row>
    <row r="25" spans="1:5" x14ac:dyDescent="0.3">
      <c r="A25" t="s">
        <v>130</v>
      </c>
      <c r="B25" t="s">
        <v>131</v>
      </c>
    </row>
    <row r="26" spans="1:5" x14ac:dyDescent="0.3">
      <c r="A26" t="s">
        <v>128</v>
      </c>
      <c r="B26" t="s">
        <v>357</v>
      </c>
    </row>
    <row r="27" spans="1:5" x14ac:dyDescent="0.3">
      <c r="A27" t="s">
        <v>129</v>
      </c>
      <c r="B27" t="s">
        <v>284</v>
      </c>
    </row>
    <row r="28" spans="1:5" x14ac:dyDescent="0.3">
      <c r="A28" t="s">
        <v>132</v>
      </c>
      <c r="B28" t="s">
        <v>285</v>
      </c>
    </row>
    <row r="29" spans="1:5" x14ac:dyDescent="0.3">
      <c r="A29" s="49" t="s">
        <v>133</v>
      </c>
      <c r="B29" s="49" t="s">
        <v>286</v>
      </c>
      <c r="C29" s="49"/>
      <c r="D29" s="49"/>
      <c r="E29" s="49"/>
    </row>
  </sheetData>
  <mergeCells count="4">
    <mergeCell ref="A1:C1"/>
    <mergeCell ref="A9:C9"/>
    <mergeCell ref="A16:C16"/>
    <mergeCell ref="A23:C2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zoomScaleNormal="100" workbookViewId="0">
      <pane ySplit="1" topLeftCell="A2" activePane="bottomLeft" state="frozen"/>
      <selection pane="bottomLeft" activeCell="B4" sqref="B4"/>
    </sheetView>
  </sheetViews>
  <sheetFormatPr defaultRowHeight="14.5" x14ac:dyDescent="0.3"/>
  <cols>
    <col min="1" max="1" width="25.296875" bestFit="1" customWidth="1"/>
    <col min="2" max="3" width="10.69921875" bestFit="1" customWidth="1"/>
    <col min="4" max="4" width="26.296875" bestFit="1" customWidth="1"/>
    <col min="5" max="5" width="29.5" customWidth="1"/>
  </cols>
  <sheetData>
    <row r="1" spans="1:5" ht="43.5" x14ac:dyDescent="0.3">
      <c r="A1" s="155" t="s">
        <v>56</v>
      </c>
      <c r="B1" s="156" t="s">
        <v>241</v>
      </c>
      <c r="C1" s="156" t="s">
        <v>240</v>
      </c>
      <c r="D1" s="156" t="s">
        <v>287</v>
      </c>
      <c r="E1" s="156" t="s">
        <v>288</v>
      </c>
    </row>
    <row r="2" spans="1:5" x14ac:dyDescent="0.3">
      <c r="A2" s="1" t="s">
        <v>233</v>
      </c>
      <c r="B2" s="10"/>
      <c r="C2" s="9"/>
    </row>
    <row r="3" spans="1:5" x14ac:dyDescent="0.3">
      <c r="A3" s="67" t="s">
        <v>234</v>
      </c>
      <c r="B3" s="38">
        <v>5</v>
      </c>
      <c r="C3" s="70">
        <v>25</v>
      </c>
      <c r="D3" s="13">
        <f>C3*(1+2%)^B3</f>
        <v>27.602020079999999</v>
      </c>
      <c r="E3" s="13">
        <f>C3*(1+3%)^B3</f>
        <v>28.981851857499997</v>
      </c>
    </row>
    <row r="4" spans="1:5" x14ac:dyDescent="0.3">
      <c r="A4" s="67" t="s">
        <v>235</v>
      </c>
      <c r="B4" s="38">
        <v>6</v>
      </c>
      <c r="C4" s="70">
        <v>25</v>
      </c>
      <c r="D4" s="13">
        <f t="shared" ref="D4:D18" si="0">C4*(1+2%)^B4</f>
        <v>28.154060481600002</v>
      </c>
      <c r="E4" s="13">
        <f t="shared" ref="E4:E18" si="1">C4*(1+3%)^B4</f>
        <v>29.851307413224998</v>
      </c>
    </row>
    <row r="5" spans="1:5" x14ac:dyDescent="0.3">
      <c r="A5" s="67" t="s">
        <v>236</v>
      </c>
      <c r="B5" s="38">
        <v>7</v>
      </c>
      <c r="C5" s="70">
        <v>25</v>
      </c>
      <c r="D5" s="13">
        <f t="shared" si="0"/>
        <v>28.717141691231994</v>
      </c>
      <c r="E5" s="13">
        <f t="shared" si="1"/>
        <v>30.74684663562175</v>
      </c>
    </row>
    <row r="6" spans="1:5" x14ac:dyDescent="0.3">
      <c r="A6" s="67" t="s">
        <v>237</v>
      </c>
      <c r="B6" s="38">
        <v>8</v>
      </c>
      <c r="C6" s="70">
        <v>25</v>
      </c>
      <c r="D6" s="13">
        <f>C6*(1+2%)^B6</f>
        <v>29.291484525056639</v>
      </c>
      <c r="E6" s="13">
        <f t="shared" si="1"/>
        <v>31.669252034690398</v>
      </c>
    </row>
    <row r="7" spans="1:5" x14ac:dyDescent="0.3">
      <c r="A7" s="1" t="s">
        <v>238</v>
      </c>
      <c r="B7" s="38"/>
      <c r="C7" s="71"/>
      <c r="D7" s="13"/>
      <c r="E7" s="13"/>
    </row>
    <row r="8" spans="1:5" x14ac:dyDescent="0.3">
      <c r="A8" s="67" t="s">
        <v>234</v>
      </c>
      <c r="B8" s="38">
        <v>7</v>
      </c>
      <c r="C8" s="70">
        <v>25</v>
      </c>
      <c r="D8" s="13">
        <f t="shared" si="0"/>
        <v>28.717141691231994</v>
      </c>
      <c r="E8" s="13">
        <f t="shared" si="1"/>
        <v>30.74684663562175</v>
      </c>
    </row>
    <row r="9" spans="1:5" x14ac:dyDescent="0.3">
      <c r="A9" s="67" t="s">
        <v>235</v>
      </c>
      <c r="B9" s="38">
        <v>8</v>
      </c>
      <c r="C9" s="70">
        <v>25</v>
      </c>
      <c r="D9" s="13">
        <f t="shared" si="0"/>
        <v>29.291484525056639</v>
      </c>
      <c r="E9" s="13">
        <f t="shared" si="1"/>
        <v>31.669252034690398</v>
      </c>
    </row>
    <row r="10" spans="1:5" x14ac:dyDescent="0.3">
      <c r="A10" s="67" t="s">
        <v>236</v>
      </c>
      <c r="B10" s="38">
        <v>9</v>
      </c>
      <c r="C10" s="70">
        <v>25</v>
      </c>
      <c r="D10" s="13">
        <f t="shared" si="0"/>
        <v>29.877314215557771</v>
      </c>
      <c r="E10" s="13">
        <f t="shared" si="1"/>
        <v>32.619329595731109</v>
      </c>
    </row>
    <row r="11" spans="1:5" x14ac:dyDescent="0.3">
      <c r="A11" s="67" t="s">
        <v>237</v>
      </c>
      <c r="B11" s="38">
        <v>10</v>
      </c>
      <c r="C11" s="70">
        <v>25</v>
      </c>
      <c r="D11" s="13">
        <f t="shared" si="0"/>
        <v>30.474860499868928</v>
      </c>
      <c r="E11" s="13">
        <f t="shared" si="1"/>
        <v>33.597909483603047</v>
      </c>
    </row>
    <row r="12" spans="1:5" x14ac:dyDescent="0.3">
      <c r="A12" s="1" t="s">
        <v>242</v>
      </c>
      <c r="B12" s="38"/>
      <c r="C12" s="70"/>
      <c r="D12" s="13"/>
      <c r="E12" s="13"/>
    </row>
    <row r="13" spans="1:5" x14ac:dyDescent="0.3">
      <c r="A13" s="67" t="s">
        <v>243</v>
      </c>
      <c r="B13" s="38">
        <v>10</v>
      </c>
      <c r="C13" s="70">
        <v>70</v>
      </c>
      <c r="D13" s="13">
        <f t="shared" si="0"/>
        <v>85.329609399633</v>
      </c>
      <c r="E13" s="13">
        <f t="shared" si="1"/>
        <v>94.074146554088529</v>
      </c>
    </row>
    <row r="14" spans="1:5" x14ac:dyDescent="0.3">
      <c r="A14" s="67" t="s">
        <v>244</v>
      </c>
      <c r="B14" s="38">
        <v>20</v>
      </c>
      <c r="C14" s="70">
        <v>70</v>
      </c>
      <c r="D14" s="13">
        <f t="shared" si="0"/>
        <v>104.0163177184848</v>
      </c>
      <c r="E14" s="13">
        <f t="shared" si="1"/>
        <v>126.42778642685893</v>
      </c>
    </row>
    <row r="15" spans="1:5" x14ac:dyDescent="0.3">
      <c r="A15" s="1" t="s">
        <v>245</v>
      </c>
      <c r="B15" s="38"/>
      <c r="C15" s="70"/>
      <c r="D15" s="13"/>
      <c r="E15" s="13"/>
    </row>
    <row r="16" spans="1:5" x14ac:dyDescent="0.3">
      <c r="A16" s="69" t="s">
        <v>243</v>
      </c>
      <c r="B16" s="38">
        <v>4</v>
      </c>
      <c r="C16" s="70">
        <v>20</v>
      </c>
      <c r="D16" s="13">
        <f t="shared" si="0"/>
        <v>21.648643199999999</v>
      </c>
      <c r="E16" s="13">
        <f t="shared" si="1"/>
        <v>22.510176199999997</v>
      </c>
    </row>
    <row r="17" spans="1:5" x14ac:dyDescent="0.3">
      <c r="A17" s="67" t="s">
        <v>244</v>
      </c>
      <c r="B17" s="38">
        <v>8</v>
      </c>
      <c r="C17" s="70">
        <v>20</v>
      </c>
      <c r="D17" s="13">
        <f t="shared" si="0"/>
        <v>23.43318762004531</v>
      </c>
      <c r="E17" s="13">
        <f t="shared" si="1"/>
        <v>25.335401627752319</v>
      </c>
    </row>
    <row r="18" spans="1:5" x14ac:dyDescent="0.3">
      <c r="A18" s="73" t="s">
        <v>239</v>
      </c>
      <c r="B18" s="52">
        <v>25</v>
      </c>
      <c r="C18" s="72">
        <v>6</v>
      </c>
      <c r="D18" s="23">
        <f t="shared" si="0"/>
        <v>9.8436359667883764</v>
      </c>
      <c r="E18" s="23">
        <f t="shared" si="1"/>
        <v>12.562667577925282</v>
      </c>
    </row>
    <row r="20" spans="1:5" x14ac:dyDescent="0.3">
      <c r="A20" s="9"/>
      <c r="B20" s="38"/>
      <c r="C20" s="13"/>
    </row>
    <row r="21" spans="1:5" x14ac:dyDescent="0.3">
      <c r="A21" s="14"/>
      <c r="B21" s="14"/>
      <c r="C21" s="39"/>
    </row>
    <row r="22" spans="1:5" x14ac:dyDescent="0.3">
      <c r="A22" s="65"/>
      <c r="B22" s="65"/>
      <c r="C22" s="65"/>
    </row>
    <row r="23" spans="1:5" x14ac:dyDescent="0.3">
      <c r="A23" s="65"/>
      <c r="B23" s="65"/>
      <c r="C23" s="65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zoomScaleNormal="100" workbookViewId="0">
      <pane ySplit="2" topLeftCell="A3" activePane="bottomLeft" state="frozen"/>
      <selection pane="bottomLeft" sqref="A1:E2"/>
    </sheetView>
  </sheetViews>
  <sheetFormatPr defaultColWidth="8.796875" defaultRowHeight="14.5" x14ac:dyDescent="0.3"/>
  <cols>
    <col min="1" max="1" width="29.3984375" style="7" customWidth="1"/>
    <col min="2" max="2" width="15" style="7" customWidth="1"/>
    <col min="3" max="3" width="7.5" style="3" customWidth="1"/>
    <col min="4" max="4" width="27.796875" style="7" customWidth="1"/>
    <col min="5" max="5" width="14.19921875" style="7" customWidth="1"/>
    <col min="6" max="6" width="10.296875" style="6" bestFit="1" customWidth="1"/>
    <col min="7" max="7" width="13" style="3" bestFit="1" customWidth="1"/>
    <col min="8" max="16384" width="8.796875" style="7"/>
  </cols>
  <sheetData>
    <row r="1" spans="1:6" x14ac:dyDescent="0.3">
      <c r="A1" s="182" t="s">
        <v>76</v>
      </c>
      <c r="B1" s="183"/>
      <c r="C1" s="183"/>
      <c r="D1" s="183"/>
      <c r="E1" s="183"/>
    </row>
    <row r="2" spans="1:6" x14ac:dyDescent="0.3">
      <c r="A2" s="184">
        <v>44926</v>
      </c>
      <c r="B2" s="184"/>
      <c r="C2" s="184"/>
      <c r="D2" s="184"/>
      <c r="E2" s="184"/>
    </row>
    <row r="3" spans="1:6" x14ac:dyDescent="0.3">
      <c r="A3" s="44" t="s">
        <v>7</v>
      </c>
      <c r="B3" s="14"/>
      <c r="C3" s="14"/>
      <c r="D3" s="44" t="s">
        <v>8</v>
      </c>
      <c r="E3" s="45"/>
      <c r="F3" s="3"/>
    </row>
    <row r="4" spans="1:6" x14ac:dyDescent="0.3">
      <c r="A4" s="9" t="s">
        <v>57</v>
      </c>
      <c r="B4" s="11">
        <v>20000</v>
      </c>
      <c r="C4" s="9"/>
      <c r="D4" s="12" t="s">
        <v>73</v>
      </c>
      <c r="E4" s="11">
        <v>10000</v>
      </c>
      <c r="F4" s="3"/>
    </row>
    <row r="5" spans="1:6" x14ac:dyDescent="0.3">
      <c r="A5" s="41" t="s">
        <v>58</v>
      </c>
      <c r="B5" s="13">
        <v>80000</v>
      </c>
      <c r="C5" s="9"/>
      <c r="D5" s="9" t="s">
        <v>68</v>
      </c>
      <c r="E5" s="13">
        <v>0</v>
      </c>
    </row>
    <row r="6" spans="1:6" x14ac:dyDescent="0.3">
      <c r="A6" s="9" t="s">
        <v>59</v>
      </c>
      <c r="B6" s="13">
        <v>100000</v>
      </c>
      <c r="C6" s="9"/>
      <c r="D6" s="9" t="s">
        <v>29</v>
      </c>
      <c r="E6" s="13">
        <v>60000</v>
      </c>
    </row>
    <row r="7" spans="1:6" x14ac:dyDescent="0.3">
      <c r="A7" s="41" t="s">
        <v>60</v>
      </c>
      <c r="B7" s="13">
        <v>8000000</v>
      </c>
      <c r="C7" s="9"/>
      <c r="D7" s="41" t="s">
        <v>69</v>
      </c>
      <c r="E7" s="13">
        <v>560000</v>
      </c>
    </row>
    <row r="8" spans="1:6" x14ac:dyDescent="0.3">
      <c r="A8" s="7" t="s">
        <v>66</v>
      </c>
      <c r="B8" s="13">
        <v>5000000</v>
      </c>
      <c r="C8" s="9"/>
      <c r="D8" s="41" t="s">
        <v>70</v>
      </c>
      <c r="E8" s="13">
        <v>5050000</v>
      </c>
    </row>
    <row r="9" spans="1:6" x14ac:dyDescent="0.3">
      <c r="A9" s="41" t="s">
        <v>61</v>
      </c>
      <c r="B9" s="13">
        <v>700000</v>
      </c>
      <c r="C9" s="9"/>
      <c r="D9" s="41" t="s">
        <v>71</v>
      </c>
      <c r="E9" s="13">
        <v>0</v>
      </c>
    </row>
    <row r="10" spans="1:6" ht="16" x14ac:dyDescent="0.45">
      <c r="A10" s="41" t="s">
        <v>64</v>
      </c>
      <c r="B10" s="13">
        <v>50000</v>
      </c>
      <c r="C10" s="9"/>
      <c r="D10" s="9" t="s">
        <v>72</v>
      </c>
      <c r="E10" s="24">
        <v>0</v>
      </c>
    </row>
    <row r="11" spans="1:6" x14ac:dyDescent="0.3">
      <c r="A11" s="41" t="s">
        <v>62</v>
      </c>
      <c r="B11" s="13">
        <v>100000</v>
      </c>
      <c r="C11" s="9"/>
    </row>
    <row r="12" spans="1:6" ht="16" x14ac:dyDescent="0.45">
      <c r="A12" s="9" t="s">
        <v>63</v>
      </c>
      <c r="B12" s="39">
        <v>250000</v>
      </c>
      <c r="C12" s="9"/>
      <c r="D12" s="8" t="s">
        <v>74</v>
      </c>
      <c r="E12" s="20">
        <f>SUM(E4:E10)</f>
        <v>5680000</v>
      </c>
    </row>
    <row r="13" spans="1:6" x14ac:dyDescent="0.3">
      <c r="A13" s="41" t="s">
        <v>65</v>
      </c>
      <c r="B13" s="42">
        <v>500000</v>
      </c>
      <c r="C13" s="9"/>
    </row>
    <row r="14" spans="1:6" ht="16" x14ac:dyDescent="0.45">
      <c r="A14" s="41" t="s">
        <v>67</v>
      </c>
      <c r="B14" s="43">
        <v>1800000</v>
      </c>
      <c r="C14" s="9"/>
      <c r="D14" s="8" t="s">
        <v>9</v>
      </c>
      <c r="E14" s="19">
        <f>B16-E12</f>
        <v>10920000</v>
      </c>
    </row>
    <row r="15" spans="1:6" x14ac:dyDescent="0.3">
      <c r="A15" s="8"/>
      <c r="B15" s="9"/>
      <c r="C15" s="9"/>
    </row>
    <row r="16" spans="1:6" ht="16" x14ac:dyDescent="0.45">
      <c r="A16" s="16" t="s">
        <v>75</v>
      </c>
      <c r="B16" s="53">
        <f>SUM(B4:B14)</f>
        <v>16600000</v>
      </c>
      <c r="C16" s="17"/>
      <c r="D16" s="16" t="s">
        <v>10</v>
      </c>
      <c r="E16" s="53">
        <f>E12+E14</f>
        <v>16600000</v>
      </c>
    </row>
    <row r="17" spans="1:6" x14ac:dyDescent="0.3">
      <c r="A17" s="9"/>
      <c r="B17" s="13"/>
      <c r="C17" s="9"/>
      <c r="D17" s="9"/>
      <c r="E17" s="13"/>
    </row>
    <row r="18" spans="1:6" x14ac:dyDescent="0.3">
      <c r="C18" s="9"/>
      <c r="D18" s="9"/>
      <c r="E18" s="9"/>
    </row>
    <row r="19" spans="1:6" x14ac:dyDescent="0.3">
      <c r="A19" s="9"/>
      <c r="B19" s="9"/>
      <c r="C19" s="9"/>
      <c r="D19" s="9"/>
      <c r="E19" s="13"/>
    </row>
    <row r="20" spans="1:6" x14ac:dyDescent="0.3">
      <c r="A20" s="9"/>
      <c r="B20" s="13"/>
      <c r="C20" s="9"/>
      <c r="D20" s="9"/>
      <c r="E20" s="13"/>
    </row>
    <row r="21" spans="1:6" x14ac:dyDescent="0.3">
      <c r="A21" s="9"/>
      <c r="B21" s="13"/>
      <c r="C21" s="9"/>
      <c r="D21" s="9"/>
      <c r="E21" s="13"/>
    </row>
    <row r="22" spans="1:6" x14ac:dyDescent="0.3">
      <c r="A22" s="9"/>
      <c r="B22" s="13"/>
      <c r="C22" s="9"/>
      <c r="D22" s="9"/>
      <c r="E22" s="13"/>
    </row>
    <row r="23" spans="1:6" x14ac:dyDescent="0.3">
      <c r="A23" s="9"/>
      <c r="B23" s="13"/>
      <c r="C23" s="9"/>
      <c r="D23" s="9"/>
      <c r="E23" s="9"/>
    </row>
    <row r="24" spans="1:6" ht="16" x14ac:dyDescent="0.45">
      <c r="A24" s="9"/>
      <c r="B24" s="13"/>
      <c r="C24" s="9"/>
      <c r="D24" s="9"/>
      <c r="E24" s="19"/>
      <c r="F24" s="3"/>
    </row>
    <row r="25" spans="1:6" ht="16" x14ac:dyDescent="0.45">
      <c r="A25" s="9"/>
      <c r="B25" s="13"/>
      <c r="C25" s="9"/>
      <c r="D25" s="9"/>
      <c r="E25" s="20"/>
      <c r="F25" s="3"/>
    </row>
    <row r="26" spans="1:6" x14ac:dyDescent="0.3">
      <c r="A26" s="9"/>
      <c r="B26" s="13"/>
      <c r="C26" s="9"/>
      <c r="F26" s="3"/>
    </row>
    <row r="27" spans="1:6" x14ac:dyDescent="0.3">
      <c r="A27" s="9"/>
      <c r="B27" s="13"/>
      <c r="C27" s="9"/>
      <c r="F27" s="3"/>
    </row>
    <row r="28" spans="1:6" ht="16" x14ac:dyDescent="0.45">
      <c r="A28" s="9"/>
      <c r="B28" s="19"/>
      <c r="C28" s="9"/>
      <c r="F28" s="3"/>
    </row>
    <row r="29" spans="1:6" x14ac:dyDescent="0.3">
      <c r="A29" s="9"/>
      <c r="B29" s="11"/>
      <c r="C29" s="9"/>
      <c r="D29" s="9"/>
      <c r="E29" s="18"/>
      <c r="F29" s="3"/>
    </row>
    <row r="30" spans="1:6" x14ac:dyDescent="0.3">
      <c r="A30" s="21"/>
      <c r="B30" s="9"/>
      <c r="C30" s="9"/>
      <c r="D30" s="9"/>
      <c r="E30" s="18"/>
      <c r="F30" s="3"/>
    </row>
    <row r="31" spans="1:6" x14ac:dyDescent="0.3">
      <c r="A31" s="15"/>
      <c r="B31" s="11"/>
      <c r="C31" s="9"/>
      <c r="D31" s="9"/>
      <c r="E31" s="18"/>
      <c r="F31" s="3"/>
    </row>
    <row r="32" spans="1:6" x14ac:dyDescent="0.3">
      <c r="A32" s="9"/>
      <c r="B32" s="13"/>
      <c r="C32" s="9"/>
      <c r="D32" s="9"/>
      <c r="E32" s="18"/>
      <c r="F32" s="3"/>
    </row>
    <row r="33" spans="1:6" x14ac:dyDescent="0.3">
      <c r="A33" s="9"/>
      <c r="B33" s="13"/>
      <c r="C33" s="9"/>
      <c r="D33" s="9"/>
      <c r="E33" s="18"/>
      <c r="F33" s="3"/>
    </row>
    <row r="34" spans="1:6" x14ac:dyDescent="0.3">
      <c r="A34" s="9"/>
      <c r="B34" s="13"/>
      <c r="C34" s="9"/>
      <c r="D34" s="9"/>
      <c r="E34" s="18"/>
      <c r="F34" s="3"/>
    </row>
    <row r="35" spans="1:6" x14ac:dyDescent="0.3">
      <c r="A35" s="9"/>
      <c r="B35" s="13"/>
      <c r="C35" s="9"/>
      <c r="D35" s="9"/>
      <c r="E35" s="18"/>
      <c r="F35" s="3"/>
    </row>
    <row r="36" spans="1:6" x14ac:dyDescent="0.3">
      <c r="A36" s="9"/>
      <c r="B36" s="13"/>
      <c r="C36" s="9"/>
      <c r="D36" s="9"/>
      <c r="E36" s="18"/>
      <c r="F36" s="3"/>
    </row>
    <row r="37" spans="1:6" x14ac:dyDescent="0.3">
      <c r="A37" s="9"/>
      <c r="B37" s="13"/>
      <c r="C37" s="9"/>
      <c r="D37" s="9"/>
      <c r="E37" s="18"/>
      <c r="F37" s="3"/>
    </row>
    <row r="38" spans="1:6" x14ac:dyDescent="0.3">
      <c r="A38" s="9"/>
      <c r="B38" s="13"/>
      <c r="C38" s="9"/>
      <c r="D38" s="9"/>
      <c r="E38" s="18"/>
      <c r="F38" s="3"/>
    </row>
    <row r="39" spans="1:6" x14ac:dyDescent="0.3">
      <c r="A39" s="9"/>
      <c r="B39" s="13"/>
      <c r="C39" s="9"/>
      <c r="D39" s="9"/>
      <c r="E39" s="18"/>
      <c r="F39" s="3"/>
    </row>
    <row r="40" spans="1:6" x14ac:dyDescent="0.3">
      <c r="A40" s="15"/>
      <c r="B40" s="9"/>
      <c r="C40" s="9"/>
      <c r="D40" s="9"/>
      <c r="E40" s="18"/>
      <c r="F40" s="3"/>
    </row>
    <row r="41" spans="1:6" x14ac:dyDescent="0.3">
      <c r="A41" s="15"/>
      <c r="B41" s="13"/>
      <c r="C41" s="13"/>
      <c r="D41" s="9"/>
      <c r="E41" s="9"/>
    </row>
    <row r="42" spans="1:6" ht="16" x14ac:dyDescent="0.45">
      <c r="A42" s="9"/>
      <c r="B42" s="19"/>
      <c r="C42" s="13"/>
      <c r="D42" s="9"/>
      <c r="E42" s="9"/>
    </row>
    <row r="43" spans="1:6" ht="16" x14ac:dyDescent="0.45">
      <c r="A43" s="9"/>
      <c r="B43" s="20"/>
      <c r="C43" s="13"/>
      <c r="D43" s="9"/>
      <c r="E43" s="9"/>
    </row>
    <row r="44" spans="1:6" x14ac:dyDescent="0.3">
      <c r="A44" s="16"/>
      <c r="B44" s="22"/>
      <c r="C44" s="23"/>
      <c r="D44" s="17"/>
      <c r="E44" s="17"/>
    </row>
    <row r="45" spans="1:6" x14ac:dyDescent="0.3">
      <c r="A45" s="9" t="s">
        <v>0</v>
      </c>
      <c r="B45" s="9"/>
      <c r="C45" s="13"/>
      <c r="D45" s="9"/>
      <c r="E45" s="9"/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75"/>
  <sheetViews>
    <sheetView topLeftCell="C1" zoomScaleNormal="100" workbookViewId="0">
      <pane ySplit="3" topLeftCell="A4" activePane="bottomLeft" state="frozen"/>
      <selection activeCell="C1" sqref="C1"/>
      <selection pane="bottomLeft" sqref="A1:M2"/>
    </sheetView>
  </sheetViews>
  <sheetFormatPr defaultRowHeight="14.5" x14ac:dyDescent="0.3"/>
  <cols>
    <col min="1" max="1" width="4.5" customWidth="1"/>
    <col min="2" max="2" width="22.296875" bestFit="1" customWidth="1"/>
    <col min="3" max="3" width="13.59765625" customWidth="1"/>
    <col min="4" max="4" width="11" customWidth="1"/>
    <col min="5" max="5" width="27.5" bestFit="1" customWidth="1"/>
    <col min="6" max="6" width="13.19921875" customWidth="1"/>
    <col min="7" max="7" width="12.296875" bestFit="1" customWidth="1"/>
    <col min="8" max="8" width="29.8984375" bestFit="1" customWidth="1"/>
    <col min="9" max="9" width="11.5" bestFit="1" customWidth="1"/>
    <col min="10" max="10" width="11.09765625" bestFit="1" customWidth="1"/>
    <col min="11" max="11" width="25.09765625" bestFit="1" customWidth="1"/>
    <col min="12" max="12" width="13.3984375" bestFit="1" customWidth="1"/>
    <col min="13" max="13" width="21.3984375" bestFit="1" customWidth="1"/>
    <col min="19" max="19" width="30" bestFit="1" customWidth="1"/>
    <col min="20" max="20" width="13.3984375" bestFit="1" customWidth="1"/>
    <col min="21" max="21" width="21.3984375" bestFit="1" customWidth="1"/>
  </cols>
  <sheetData>
    <row r="1" spans="1:21" x14ac:dyDescent="0.3">
      <c r="A1" s="185" t="s">
        <v>204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21" x14ac:dyDescent="0.3">
      <c r="A2" s="186" t="s">
        <v>77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21" x14ac:dyDescent="0.3">
      <c r="A3" s="9"/>
      <c r="B3" s="8" t="s">
        <v>205</v>
      </c>
      <c r="C3" s="8" t="s">
        <v>206</v>
      </c>
      <c r="D3" s="8" t="s">
        <v>207</v>
      </c>
      <c r="E3" s="8" t="s">
        <v>205</v>
      </c>
      <c r="F3" s="8" t="s">
        <v>206</v>
      </c>
      <c r="G3" s="8" t="s">
        <v>207</v>
      </c>
      <c r="H3" s="8" t="s">
        <v>205</v>
      </c>
      <c r="I3" s="8" t="s">
        <v>206</v>
      </c>
      <c r="J3" s="8" t="s">
        <v>207</v>
      </c>
      <c r="K3" s="8" t="s">
        <v>205</v>
      </c>
      <c r="L3" s="8" t="s">
        <v>206</v>
      </c>
      <c r="M3" s="8" t="s">
        <v>207</v>
      </c>
      <c r="S3" s="8"/>
      <c r="T3" s="8"/>
      <c r="U3" s="8"/>
    </row>
    <row r="4" spans="1:21" x14ac:dyDescent="0.3">
      <c r="A4" s="9"/>
      <c r="B4" s="8" t="s">
        <v>208</v>
      </c>
      <c r="C4" s="9"/>
      <c r="D4" s="9"/>
      <c r="E4" s="8" t="s">
        <v>221</v>
      </c>
      <c r="F4" s="13"/>
      <c r="G4" s="13"/>
    </row>
    <row r="5" spans="1:21" x14ac:dyDescent="0.3">
      <c r="A5" s="9"/>
      <c r="B5" s="9" t="s">
        <v>1</v>
      </c>
      <c r="C5" s="9"/>
      <c r="D5" s="9"/>
      <c r="E5" s="9" t="s">
        <v>33</v>
      </c>
      <c r="F5" s="13"/>
      <c r="G5" s="13"/>
      <c r="H5" s="9" t="s">
        <v>52</v>
      </c>
      <c r="I5" s="13"/>
      <c r="J5" s="9"/>
      <c r="K5" s="9" t="s">
        <v>214</v>
      </c>
      <c r="L5" s="13"/>
      <c r="M5" s="9"/>
    </row>
    <row r="6" spans="1:21" x14ac:dyDescent="0.3">
      <c r="A6" s="9"/>
      <c r="B6" s="67" t="s">
        <v>202</v>
      </c>
      <c r="C6" s="13">
        <f>40000*13.5</f>
        <v>540000</v>
      </c>
      <c r="D6" s="9" t="s">
        <v>232</v>
      </c>
      <c r="E6" s="9" t="s">
        <v>34</v>
      </c>
      <c r="F6" s="11">
        <v>0</v>
      </c>
      <c r="G6" s="11"/>
      <c r="H6" s="9" t="s">
        <v>110</v>
      </c>
      <c r="I6" s="11">
        <v>12000</v>
      </c>
      <c r="J6" s="51" t="s">
        <v>223</v>
      </c>
      <c r="K6" s="9" t="s">
        <v>101</v>
      </c>
      <c r="L6" s="11">
        <v>30000</v>
      </c>
      <c r="M6" s="46" t="s">
        <v>226</v>
      </c>
    </row>
    <row r="7" spans="1:21" ht="16" x14ac:dyDescent="0.45">
      <c r="A7" s="9"/>
      <c r="B7" s="67" t="s">
        <v>203</v>
      </c>
      <c r="C7" s="24">
        <f>70000*12</f>
        <v>840000</v>
      </c>
      <c r="D7" s="24"/>
      <c r="E7" s="9" t="s">
        <v>30</v>
      </c>
      <c r="F7" s="13">
        <f>32000*12</f>
        <v>384000</v>
      </c>
      <c r="G7" s="13"/>
      <c r="H7" s="9" t="s">
        <v>84</v>
      </c>
      <c r="I7" s="13">
        <v>7200</v>
      </c>
      <c r="J7" s="9" t="s">
        <v>87</v>
      </c>
      <c r="K7" s="9" t="s">
        <v>43</v>
      </c>
      <c r="L7" s="13">
        <v>8000</v>
      </c>
      <c r="M7" s="46" t="s">
        <v>227</v>
      </c>
    </row>
    <row r="8" spans="1:21" ht="16" x14ac:dyDescent="0.45">
      <c r="A8" s="9"/>
      <c r="B8" s="9" t="s">
        <v>78</v>
      </c>
      <c r="C8" s="24">
        <f>C6+C7</f>
        <v>1380000</v>
      </c>
      <c r="D8" s="13"/>
      <c r="E8" s="9" t="s">
        <v>81</v>
      </c>
      <c r="F8" s="24">
        <v>50000</v>
      </c>
      <c r="G8" s="13"/>
      <c r="H8" s="9" t="s">
        <v>89</v>
      </c>
      <c r="I8" s="13">
        <v>3600</v>
      </c>
      <c r="J8" s="9" t="s">
        <v>85</v>
      </c>
      <c r="K8" s="9" t="s">
        <v>5</v>
      </c>
      <c r="L8" s="24">
        <v>0</v>
      </c>
      <c r="M8" s="9"/>
    </row>
    <row r="9" spans="1:21" ht="16" x14ac:dyDescent="0.45">
      <c r="A9" s="9"/>
      <c r="B9" s="9" t="s">
        <v>210</v>
      </c>
      <c r="C9" s="13"/>
      <c r="D9" s="13"/>
      <c r="E9" s="9" t="s">
        <v>37</v>
      </c>
      <c r="F9" s="25">
        <f>SUM(F6:F8)</f>
        <v>434000</v>
      </c>
      <c r="G9" s="24"/>
      <c r="H9" s="9" t="s">
        <v>54</v>
      </c>
      <c r="I9" s="13">
        <v>2400</v>
      </c>
      <c r="J9" s="9" t="s">
        <v>86</v>
      </c>
      <c r="K9" s="9" t="s">
        <v>46</v>
      </c>
      <c r="L9" s="25">
        <f>SUM(L6:L8)</f>
        <v>38000</v>
      </c>
      <c r="M9" s="9"/>
    </row>
    <row r="10" spans="1:21" x14ac:dyDescent="0.3">
      <c r="A10" s="9"/>
      <c r="B10" s="9" t="s">
        <v>2</v>
      </c>
      <c r="C10" s="11">
        <v>2000</v>
      </c>
      <c r="D10" s="11"/>
      <c r="E10" s="9" t="s">
        <v>38</v>
      </c>
      <c r="F10" s="13"/>
      <c r="G10" s="11"/>
      <c r="H10" s="9" t="s">
        <v>90</v>
      </c>
      <c r="I10" s="13">
        <f>1300*12</f>
        <v>15600</v>
      </c>
      <c r="J10" s="9" t="s">
        <v>91</v>
      </c>
      <c r="K10" s="9" t="s">
        <v>103</v>
      </c>
      <c r="L10" s="9"/>
      <c r="M10" s="9"/>
    </row>
    <row r="11" spans="1:21" x14ac:dyDescent="0.3">
      <c r="A11" s="9"/>
      <c r="B11" s="9" t="s">
        <v>3</v>
      </c>
      <c r="C11" s="13">
        <v>18000</v>
      </c>
      <c r="D11" s="13"/>
      <c r="E11" s="9" t="s">
        <v>39</v>
      </c>
      <c r="F11" s="11">
        <v>120000</v>
      </c>
      <c r="G11" s="13"/>
      <c r="H11" s="9" t="s">
        <v>88</v>
      </c>
      <c r="I11" s="13">
        <v>0</v>
      </c>
      <c r="J11" s="13"/>
      <c r="K11" s="9" t="s">
        <v>105</v>
      </c>
      <c r="L11" s="11">
        <v>10000</v>
      </c>
      <c r="M11" s="9"/>
    </row>
    <row r="12" spans="1:21" ht="16" x14ac:dyDescent="0.45">
      <c r="A12" s="9"/>
      <c r="B12" s="9" t="s">
        <v>4</v>
      </c>
      <c r="C12" s="13">
        <v>0</v>
      </c>
      <c r="D12" s="13"/>
      <c r="E12" s="9" t="s">
        <v>41</v>
      </c>
      <c r="F12" s="13">
        <v>24000</v>
      </c>
      <c r="G12" s="9" t="s">
        <v>114</v>
      </c>
      <c r="H12" s="9" t="s">
        <v>5</v>
      </c>
      <c r="I12" s="24">
        <v>0</v>
      </c>
      <c r="J12" s="13"/>
      <c r="K12" s="9" t="s">
        <v>104</v>
      </c>
      <c r="L12" s="11">
        <v>120000</v>
      </c>
      <c r="M12" s="46" t="s">
        <v>228</v>
      </c>
    </row>
    <row r="13" spans="1:21" ht="16" x14ac:dyDescent="0.45">
      <c r="A13" s="9"/>
      <c r="B13" s="9" t="s">
        <v>212</v>
      </c>
      <c r="C13" s="13">
        <v>50000</v>
      </c>
      <c r="D13" s="24"/>
      <c r="E13" s="9" t="s">
        <v>92</v>
      </c>
      <c r="F13" s="13">
        <v>6000</v>
      </c>
      <c r="G13" s="9" t="s">
        <v>93</v>
      </c>
      <c r="H13" s="14" t="s">
        <v>55</v>
      </c>
      <c r="I13" s="20">
        <f>SUM(I6:I12)</f>
        <v>40800</v>
      </c>
      <c r="J13" s="19"/>
      <c r="K13" s="9" t="s">
        <v>108</v>
      </c>
      <c r="L13" s="24">
        <v>0</v>
      </c>
      <c r="M13" s="9"/>
    </row>
    <row r="14" spans="1:21" ht="16" x14ac:dyDescent="0.45">
      <c r="A14" s="9"/>
      <c r="B14" s="9" t="s">
        <v>79</v>
      </c>
      <c r="C14" s="13">
        <v>0</v>
      </c>
      <c r="D14" s="25"/>
      <c r="E14" s="9" t="s">
        <v>42</v>
      </c>
      <c r="F14" s="24">
        <v>0</v>
      </c>
      <c r="G14" s="9"/>
      <c r="H14" s="9" t="s">
        <v>209</v>
      </c>
      <c r="I14" s="13"/>
      <c r="J14" s="8"/>
      <c r="K14" s="9" t="s">
        <v>107</v>
      </c>
      <c r="L14" s="25">
        <f>SUM(L11:L13)</f>
        <v>130000</v>
      </c>
      <c r="M14" s="9"/>
    </row>
    <row r="15" spans="1:21" ht="16" x14ac:dyDescent="0.45">
      <c r="A15" s="9"/>
      <c r="B15" s="9" t="s">
        <v>80</v>
      </c>
      <c r="C15" s="13">
        <v>0</v>
      </c>
      <c r="D15" s="25"/>
      <c r="E15" s="9" t="s">
        <v>44</v>
      </c>
      <c r="F15" s="25">
        <f>SUM(F11:F14)</f>
        <v>150000</v>
      </c>
      <c r="G15" s="9"/>
      <c r="H15" s="9" t="s">
        <v>95</v>
      </c>
      <c r="I15" s="13">
        <v>27000</v>
      </c>
      <c r="J15" s="64"/>
      <c r="K15" s="9" t="s">
        <v>47</v>
      </c>
      <c r="L15" s="13"/>
      <c r="M15" s="9"/>
    </row>
    <row r="16" spans="1:21" ht="16" x14ac:dyDescent="0.45">
      <c r="A16" s="9"/>
      <c r="B16" s="9" t="s">
        <v>5</v>
      </c>
      <c r="C16" s="24">
        <v>0</v>
      </c>
      <c r="D16" s="25"/>
      <c r="E16" s="9" t="s">
        <v>45</v>
      </c>
      <c r="F16" s="13"/>
      <c r="G16" s="9"/>
      <c r="H16" s="9" t="s">
        <v>94</v>
      </c>
      <c r="I16" s="13">
        <v>6000</v>
      </c>
      <c r="J16" s="9"/>
      <c r="K16" s="9" t="s">
        <v>102</v>
      </c>
      <c r="L16" s="11">
        <v>120000</v>
      </c>
      <c r="M16" s="46" t="s">
        <v>229</v>
      </c>
    </row>
    <row r="17" spans="1:13" ht="16" x14ac:dyDescent="0.45">
      <c r="A17" s="9"/>
      <c r="B17" s="9" t="s">
        <v>6</v>
      </c>
      <c r="C17" s="25">
        <f>SUM(C10:C16)</f>
        <v>70000</v>
      </c>
      <c r="D17" s="25"/>
      <c r="E17" s="9" t="s">
        <v>83</v>
      </c>
      <c r="F17" s="11">
        <v>144000</v>
      </c>
      <c r="G17" s="9" t="s">
        <v>116</v>
      </c>
      <c r="H17" s="9" t="s">
        <v>217</v>
      </c>
      <c r="I17" s="24">
        <v>12000</v>
      </c>
      <c r="J17" s="9"/>
      <c r="K17" s="9" t="s">
        <v>109</v>
      </c>
      <c r="L17" s="11">
        <v>24000</v>
      </c>
      <c r="M17" s="46" t="s">
        <v>230</v>
      </c>
    </row>
    <row r="18" spans="1:13" ht="16" x14ac:dyDescent="0.45">
      <c r="A18" s="9"/>
      <c r="B18" s="9"/>
      <c r="C18" s="25"/>
      <c r="D18" s="25"/>
      <c r="E18" s="9" t="s">
        <v>48</v>
      </c>
      <c r="F18" s="13">
        <v>60000</v>
      </c>
      <c r="G18" s="9" t="s">
        <v>115</v>
      </c>
      <c r="H18" s="9" t="s">
        <v>31</v>
      </c>
      <c r="I18" s="25">
        <f>SUM(I15:I17)</f>
        <v>45000</v>
      </c>
      <c r="J18" s="9"/>
      <c r="K18" s="9" t="s">
        <v>112</v>
      </c>
      <c r="L18" s="11">
        <v>20000</v>
      </c>
      <c r="M18" s="9"/>
    </row>
    <row r="19" spans="1:13" ht="16" x14ac:dyDescent="0.45">
      <c r="A19" s="9"/>
      <c r="B19" s="8" t="s">
        <v>220</v>
      </c>
      <c r="C19" s="25">
        <f>C8+C17</f>
        <v>1450000</v>
      </c>
      <c r="D19" s="25"/>
      <c r="E19" s="9" t="s">
        <v>82</v>
      </c>
      <c r="F19" s="13">
        <v>24000</v>
      </c>
      <c r="G19" s="9" t="s">
        <v>114</v>
      </c>
      <c r="H19" s="9" t="s">
        <v>211</v>
      </c>
      <c r="I19" s="13"/>
      <c r="J19" s="9"/>
      <c r="K19" s="9" t="s">
        <v>49</v>
      </c>
      <c r="L19" s="11">
        <v>12000</v>
      </c>
      <c r="M19" s="46" t="s">
        <v>231</v>
      </c>
    </row>
    <row r="20" spans="1:13" ht="16" x14ac:dyDescent="0.45">
      <c r="A20" s="9"/>
      <c r="B20" s="9"/>
      <c r="C20" s="11"/>
      <c r="D20" s="11"/>
      <c r="E20" s="9" t="s">
        <v>5</v>
      </c>
      <c r="F20" s="24">
        <v>0</v>
      </c>
      <c r="G20" s="9"/>
      <c r="H20" s="9" t="s">
        <v>96</v>
      </c>
      <c r="I20" s="50">
        <f>29000</f>
        <v>29000</v>
      </c>
      <c r="J20" s="9"/>
      <c r="K20" s="9" t="s">
        <v>51</v>
      </c>
      <c r="L20" s="13">
        <v>0</v>
      </c>
      <c r="M20" s="9"/>
    </row>
    <row r="21" spans="1:13" ht="16" x14ac:dyDescent="0.45">
      <c r="A21" s="9"/>
      <c r="E21" s="9" t="s">
        <v>50</v>
      </c>
      <c r="F21" s="25">
        <f>SUM(F17:F20)</f>
        <v>228000</v>
      </c>
      <c r="G21" s="9"/>
      <c r="H21" s="9" t="s">
        <v>218</v>
      </c>
      <c r="I21" s="50">
        <v>22000</v>
      </c>
      <c r="J21" s="9"/>
      <c r="K21" s="9" t="s">
        <v>106</v>
      </c>
      <c r="L21" s="13">
        <v>0</v>
      </c>
      <c r="M21" s="9"/>
    </row>
    <row r="22" spans="1:13" x14ac:dyDescent="0.3">
      <c r="A22" s="9"/>
      <c r="E22" s="9" t="s">
        <v>213</v>
      </c>
      <c r="F22" s="13"/>
      <c r="G22" s="9"/>
      <c r="H22" s="9" t="s">
        <v>113</v>
      </c>
      <c r="I22" s="13">
        <v>60000</v>
      </c>
      <c r="J22" s="46" t="s">
        <v>225</v>
      </c>
      <c r="K22" s="9" t="s">
        <v>215</v>
      </c>
      <c r="L22" s="13">
        <v>6000</v>
      </c>
      <c r="M22" s="9" t="s">
        <v>219</v>
      </c>
    </row>
    <row r="23" spans="1:13" x14ac:dyDescent="0.3">
      <c r="A23" s="9"/>
      <c r="E23" s="9" t="s">
        <v>111</v>
      </c>
      <c r="F23" s="11">
        <v>12000</v>
      </c>
      <c r="G23" s="51" t="s">
        <v>223</v>
      </c>
      <c r="H23" s="9" t="s">
        <v>98</v>
      </c>
      <c r="I23" s="13">
        <v>3000</v>
      </c>
      <c r="J23" s="9"/>
      <c r="K23" s="9" t="s">
        <v>5</v>
      </c>
      <c r="L23" s="13">
        <v>0</v>
      </c>
      <c r="M23" s="9"/>
    </row>
    <row r="24" spans="1:13" ht="16" x14ac:dyDescent="0.45">
      <c r="A24" s="9"/>
      <c r="E24" s="9" t="s">
        <v>35</v>
      </c>
      <c r="F24" s="13">
        <f>1100*12</f>
        <v>13200</v>
      </c>
      <c r="G24" s="51" t="s">
        <v>224</v>
      </c>
      <c r="H24" s="9" t="s">
        <v>97</v>
      </c>
      <c r="I24" s="13">
        <v>5000</v>
      </c>
      <c r="J24" s="9"/>
      <c r="K24" s="9" t="s">
        <v>53</v>
      </c>
      <c r="L24" s="25">
        <f>SUM(L16:L23)</f>
        <v>182000</v>
      </c>
      <c r="M24" s="9"/>
    </row>
    <row r="25" spans="1:13" ht="16" x14ac:dyDescent="0.45">
      <c r="A25" s="9"/>
      <c r="E25" s="9" t="s">
        <v>99</v>
      </c>
      <c r="F25" s="13">
        <v>3600</v>
      </c>
      <c r="G25" s="9" t="s">
        <v>85</v>
      </c>
      <c r="H25" s="9" t="s">
        <v>152</v>
      </c>
      <c r="I25" s="13">
        <v>17000</v>
      </c>
      <c r="J25" s="9"/>
      <c r="K25" s="8" t="s">
        <v>222</v>
      </c>
      <c r="L25" s="25">
        <f>F9 + F15+F21+  I13 + I18 + I27 + F28 +L9 + L14 + L24</f>
        <v>1432600</v>
      </c>
      <c r="M25" s="9"/>
    </row>
    <row r="26" spans="1:13" ht="16" x14ac:dyDescent="0.45">
      <c r="A26" s="9"/>
      <c r="E26" s="9" t="s">
        <v>36</v>
      </c>
      <c r="F26" s="13">
        <v>20000</v>
      </c>
      <c r="G26" s="11"/>
      <c r="H26" s="9" t="s">
        <v>5</v>
      </c>
      <c r="I26" s="24">
        <v>0</v>
      </c>
      <c r="J26" s="9"/>
    </row>
    <row r="27" spans="1:13" ht="16" x14ac:dyDescent="0.45">
      <c r="A27" s="9"/>
      <c r="E27" s="9" t="s">
        <v>100</v>
      </c>
      <c r="F27" s="24">
        <v>0</v>
      </c>
      <c r="G27" s="11"/>
      <c r="H27" s="9" t="s">
        <v>32</v>
      </c>
      <c r="I27" s="25">
        <f>SUM(I20:I26)</f>
        <v>136000</v>
      </c>
      <c r="J27" s="9"/>
      <c r="K27" s="44" t="s">
        <v>216</v>
      </c>
      <c r="L27" s="68">
        <f>C19-L25</f>
        <v>17400</v>
      </c>
      <c r="M27" s="14"/>
    </row>
    <row r="28" spans="1:13" ht="16" x14ac:dyDescent="0.45">
      <c r="A28" s="9"/>
      <c r="B28" s="49"/>
      <c r="C28" s="49"/>
      <c r="D28" s="49"/>
      <c r="E28" s="17" t="s">
        <v>40</v>
      </c>
      <c r="F28" s="53">
        <f>SUM(F23:F27)</f>
        <v>48800</v>
      </c>
      <c r="G28" s="17"/>
      <c r="H28" s="49"/>
      <c r="I28" s="49"/>
      <c r="J28" s="49"/>
      <c r="K28" s="49"/>
      <c r="L28" s="49"/>
      <c r="M28" s="49"/>
    </row>
    <row r="29" spans="1:13" x14ac:dyDescent="0.3">
      <c r="A29" s="9"/>
    </row>
    <row r="30" spans="1:13" x14ac:dyDescent="0.3">
      <c r="A30" s="9"/>
    </row>
    <row r="31" spans="1:13" x14ac:dyDescent="0.3">
      <c r="A31" s="9"/>
    </row>
    <row r="32" spans="1:13" x14ac:dyDescent="0.3">
      <c r="A32" s="9"/>
    </row>
    <row r="33" spans="1:13" x14ac:dyDescent="0.3">
      <c r="A33" s="9"/>
    </row>
    <row r="34" spans="1:13" x14ac:dyDescent="0.3">
      <c r="A34" s="9"/>
    </row>
    <row r="35" spans="1:13" x14ac:dyDescent="0.3">
      <c r="A35" s="9"/>
    </row>
    <row r="36" spans="1:13" x14ac:dyDescent="0.3">
      <c r="A36" s="9"/>
    </row>
    <row r="37" spans="1:13" x14ac:dyDescent="0.3">
      <c r="A37" s="9"/>
    </row>
    <row r="38" spans="1:13" x14ac:dyDescent="0.3">
      <c r="A38" s="9"/>
    </row>
    <row r="39" spans="1:13" x14ac:dyDescent="0.3">
      <c r="A39" s="9"/>
    </row>
    <row r="40" spans="1:13" x14ac:dyDescent="0.3">
      <c r="A40" s="9"/>
    </row>
    <row r="41" spans="1:13" x14ac:dyDescent="0.3">
      <c r="A41" s="9"/>
    </row>
    <row r="42" spans="1:13" x14ac:dyDescent="0.3">
      <c r="A42" s="9"/>
    </row>
    <row r="43" spans="1:13" x14ac:dyDescent="0.3">
      <c r="A43" s="9"/>
    </row>
    <row r="44" spans="1:13" x14ac:dyDescent="0.3">
      <c r="A44" s="9"/>
    </row>
    <row r="45" spans="1:13" x14ac:dyDescent="0.3">
      <c r="A45" s="9"/>
    </row>
    <row r="46" spans="1:13" x14ac:dyDescent="0.3">
      <c r="A46" s="9"/>
      <c r="K46" s="9"/>
      <c r="L46" s="9"/>
      <c r="M46" s="9"/>
    </row>
    <row r="47" spans="1:13" x14ac:dyDescent="0.3">
      <c r="A47" s="17"/>
    </row>
    <row r="48" spans="1:13" x14ac:dyDescent="0.3">
      <c r="A48" s="14"/>
      <c r="B48" s="65"/>
      <c r="C48" s="65"/>
      <c r="D48" s="66"/>
      <c r="E48" s="14"/>
      <c r="F48" s="14"/>
    </row>
    <row r="49" spans="1:6" x14ac:dyDescent="0.3">
      <c r="A49" s="14"/>
      <c r="B49" s="14"/>
      <c r="C49" s="14"/>
      <c r="D49" s="14"/>
      <c r="E49" s="14"/>
      <c r="F49" s="14"/>
    </row>
    <row r="54" spans="1:6" x14ac:dyDescent="0.3">
      <c r="A54" s="63" t="s">
        <v>201</v>
      </c>
    </row>
    <row r="86" spans="3:5" x14ac:dyDescent="0.3">
      <c r="C86" s="2"/>
      <c r="D86" s="2"/>
      <c r="E86" s="4"/>
    </row>
    <row r="87" spans="3:5" x14ac:dyDescent="0.3">
      <c r="C87" s="2"/>
      <c r="D87" s="2"/>
      <c r="E87" s="3"/>
    </row>
    <row r="88" spans="3:5" x14ac:dyDescent="0.3">
      <c r="C88" s="2"/>
      <c r="D88" s="2"/>
      <c r="E88" s="3"/>
    </row>
    <row r="89" spans="3:5" x14ac:dyDescent="0.3">
      <c r="C89" s="2"/>
      <c r="D89" s="2"/>
      <c r="E89" s="3"/>
    </row>
    <row r="90" spans="3:5" x14ac:dyDescent="0.3">
      <c r="C90" s="2"/>
      <c r="D90" s="2"/>
      <c r="E90" s="3"/>
    </row>
    <row r="91" spans="3:5" x14ac:dyDescent="0.3">
      <c r="C91" s="2"/>
      <c r="D91" s="2"/>
      <c r="E91" s="3"/>
    </row>
    <row r="92" spans="3:5" x14ac:dyDescent="0.3">
      <c r="C92" s="2"/>
      <c r="D92" s="2"/>
      <c r="E92" s="3"/>
    </row>
    <row r="93" spans="3:5" x14ac:dyDescent="0.3">
      <c r="C93" s="2"/>
      <c r="D93" s="2"/>
      <c r="E93" s="3"/>
    </row>
    <row r="94" spans="3:5" x14ac:dyDescent="0.3">
      <c r="C94" s="2"/>
      <c r="D94" s="2"/>
      <c r="E94" s="3"/>
    </row>
    <row r="95" spans="3:5" x14ac:dyDescent="0.3">
      <c r="C95" s="2"/>
      <c r="D95" s="2"/>
      <c r="E95" s="3"/>
    </row>
    <row r="96" spans="3:5" x14ac:dyDescent="0.3">
      <c r="C96" s="2"/>
      <c r="D96" s="2"/>
      <c r="E96" s="3"/>
    </row>
    <row r="97" spans="3:5" x14ac:dyDescent="0.3">
      <c r="C97" s="2"/>
      <c r="D97" s="2"/>
      <c r="E97" s="3"/>
    </row>
    <row r="98" spans="3:5" x14ac:dyDescent="0.3">
      <c r="C98" s="2"/>
      <c r="D98" s="2"/>
      <c r="E98" s="3"/>
    </row>
    <row r="99" spans="3:5" x14ac:dyDescent="0.3">
      <c r="C99" s="2"/>
      <c r="D99" s="2"/>
      <c r="E99" s="3"/>
    </row>
    <row r="100" spans="3:5" x14ac:dyDescent="0.3">
      <c r="C100" s="2"/>
      <c r="D100" s="2"/>
      <c r="E100" s="3"/>
    </row>
    <row r="101" spans="3:5" x14ac:dyDescent="0.3">
      <c r="C101" s="2"/>
      <c r="D101" s="2"/>
      <c r="E101" s="3"/>
    </row>
    <row r="102" spans="3:5" x14ac:dyDescent="0.3">
      <c r="C102" s="2"/>
      <c r="D102" s="2"/>
      <c r="E102" s="3"/>
    </row>
    <row r="103" spans="3:5" x14ac:dyDescent="0.3">
      <c r="C103" s="2"/>
      <c r="D103" s="2"/>
      <c r="E103" s="3"/>
    </row>
    <row r="104" spans="3:5" x14ac:dyDescent="0.3">
      <c r="C104" s="2"/>
      <c r="D104" s="2"/>
      <c r="E104" s="3"/>
    </row>
    <row r="105" spans="3:5" x14ac:dyDescent="0.3">
      <c r="C105" s="2"/>
      <c r="D105" s="2"/>
      <c r="E105" s="3"/>
    </row>
    <row r="106" spans="3:5" x14ac:dyDescent="0.3">
      <c r="C106" s="2"/>
      <c r="D106" s="2"/>
      <c r="E106" s="3"/>
    </row>
    <row r="107" spans="3:5" x14ac:dyDescent="0.3">
      <c r="C107" s="2"/>
      <c r="D107" s="2"/>
      <c r="E107" s="3"/>
    </row>
    <row r="108" spans="3:5" x14ac:dyDescent="0.3">
      <c r="C108" s="2"/>
      <c r="D108" s="2"/>
      <c r="E108" s="3"/>
    </row>
    <row r="109" spans="3:5" x14ac:dyDescent="0.3">
      <c r="C109" s="2"/>
      <c r="D109" s="2"/>
      <c r="E109" s="3"/>
    </row>
    <row r="110" spans="3:5" x14ac:dyDescent="0.3">
      <c r="C110" s="2"/>
      <c r="D110" s="2"/>
      <c r="E110" s="3"/>
    </row>
    <row r="111" spans="3:5" x14ac:dyDescent="0.3">
      <c r="C111" s="2"/>
      <c r="D111" s="2"/>
      <c r="E111" s="3"/>
    </row>
    <row r="112" spans="3:5" x14ac:dyDescent="0.3">
      <c r="C112" s="2"/>
      <c r="D112" s="2"/>
      <c r="E112" s="3"/>
    </row>
    <row r="113" spans="3:5" x14ac:dyDescent="0.3">
      <c r="C113" s="2"/>
      <c r="D113" s="2"/>
      <c r="E113" s="3"/>
    </row>
    <row r="114" spans="3:5" x14ac:dyDescent="0.3">
      <c r="C114" s="2"/>
      <c r="D114" s="2"/>
      <c r="E114" s="3"/>
    </row>
    <row r="115" spans="3:5" x14ac:dyDescent="0.3">
      <c r="C115" s="2"/>
      <c r="D115" s="2"/>
      <c r="E115" s="3"/>
    </row>
    <row r="116" spans="3:5" x14ac:dyDescent="0.3">
      <c r="C116" s="2"/>
      <c r="D116" s="2"/>
      <c r="E116" s="3"/>
    </row>
    <row r="117" spans="3:5" x14ac:dyDescent="0.3">
      <c r="C117" s="2"/>
      <c r="D117" s="2"/>
      <c r="E117" s="3"/>
    </row>
    <row r="118" spans="3:5" x14ac:dyDescent="0.3">
      <c r="C118" s="2"/>
      <c r="D118" s="2"/>
      <c r="E118" s="3"/>
    </row>
    <row r="119" spans="3:5" x14ac:dyDescent="0.3">
      <c r="C119" s="2"/>
      <c r="D119" s="2"/>
      <c r="E119" s="3"/>
    </row>
    <row r="120" spans="3:5" x14ac:dyDescent="0.3">
      <c r="C120" s="2"/>
      <c r="D120" s="2"/>
      <c r="E120" s="3"/>
    </row>
    <row r="121" spans="3:5" x14ac:dyDescent="0.3">
      <c r="C121" s="2"/>
      <c r="D121" s="2"/>
      <c r="E121" s="3"/>
    </row>
    <row r="122" spans="3:5" x14ac:dyDescent="0.3">
      <c r="C122" s="2"/>
      <c r="D122" s="2"/>
      <c r="E122" s="3"/>
    </row>
    <row r="123" spans="3:5" x14ac:dyDescent="0.3">
      <c r="C123" s="2"/>
      <c r="D123" s="2"/>
      <c r="E123" s="3"/>
    </row>
    <row r="124" spans="3:5" x14ac:dyDescent="0.3">
      <c r="C124" s="2"/>
      <c r="D124" s="2"/>
      <c r="E124" s="3"/>
    </row>
    <row r="125" spans="3:5" x14ac:dyDescent="0.3">
      <c r="C125" s="2"/>
      <c r="D125" s="2"/>
      <c r="E125" s="3"/>
    </row>
    <row r="126" spans="3:5" x14ac:dyDescent="0.3">
      <c r="C126" s="2"/>
      <c r="D126" s="2"/>
      <c r="E126" s="3"/>
    </row>
    <row r="127" spans="3:5" x14ac:dyDescent="0.3">
      <c r="C127" s="2"/>
      <c r="D127" s="2"/>
      <c r="E127" s="3"/>
    </row>
    <row r="128" spans="3:5" x14ac:dyDescent="0.3">
      <c r="C128" s="2"/>
      <c r="D128" s="2"/>
      <c r="E128" s="3"/>
    </row>
    <row r="129" spans="3:5" x14ac:dyDescent="0.3">
      <c r="C129" s="2"/>
      <c r="D129" s="2"/>
      <c r="E129" s="3"/>
    </row>
    <row r="130" spans="3:5" x14ac:dyDescent="0.3">
      <c r="C130" s="2"/>
      <c r="D130" s="2"/>
      <c r="E130" s="3"/>
    </row>
    <row r="131" spans="3:5" x14ac:dyDescent="0.3">
      <c r="C131" s="2"/>
      <c r="D131" s="2"/>
      <c r="E131" s="3"/>
    </row>
    <row r="132" spans="3:5" x14ac:dyDescent="0.3">
      <c r="C132" s="2"/>
      <c r="D132" s="2"/>
      <c r="E132" s="3"/>
    </row>
    <row r="133" spans="3:5" x14ac:dyDescent="0.3">
      <c r="C133" s="2"/>
      <c r="D133" s="2"/>
      <c r="E133" s="3"/>
    </row>
    <row r="134" spans="3:5" x14ac:dyDescent="0.3">
      <c r="C134" s="2"/>
      <c r="D134" s="2"/>
      <c r="E134" s="3"/>
    </row>
    <row r="135" spans="3:5" x14ac:dyDescent="0.3">
      <c r="C135" s="2"/>
      <c r="D135" s="2"/>
      <c r="E135" s="3"/>
    </row>
    <row r="136" spans="3:5" x14ac:dyDescent="0.3">
      <c r="C136" s="2"/>
      <c r="D136" s="2"/>
      <c r="E136" s="3"/>
    </row>
    <row r="137" spans="3:5" x14ac:dyDescent="0.3">
      <c r="C137" s="2"/>
      <c r="D137" s="2"/>
      <c r="E137" s="3"/>
    </row>
    <row r="138" spans="3:5" x14ac:dyDescent="0.3">
      <c r="C138" s="2"/>
      <c r="D138" s="2"/>
      <c r="E138" s="3"/>
    </row>
    <row r="139" spans="3:5" x14ac:dyDescent="0.3">
      <c r="C139" s="2"/>
      <c r="D139" s="2"/>
      <c r="E139" s="3"/>
    </row>
    <row r="140" spans="3:5" x14ac:dyDescent="0.3">
      <c r="C140" s="2"/>
      <c r="D140" s="2"/>
      <c r="E140" s="3"/>
    </row>
    <row r="141" spans="3:5" x14ac:dyDescent="0.3">
      <c r="C141" s="2"/>
      <c r="D141" s="2"/>
      <c r="E141" s="3"/>
    </row>
    <row r="142" spans="3:5" x14ac:dyDescent="0.3">
      <c r="C142" s="2"/>
      <c r="D142" s="2"/>
      <c r="E142" s="3"/>
    </row>
    <row r="143" spans="3:5" x14ac:dyDescent="0.3">
      <c r="C143" s="2"/>
      <c r="D143" s="2"/>
      <c r="E143" s="3"/>
    </row>
    <row r="144" spans="3:5" x14ac:dyDescent="0.3">
      <c r="C144" s="2"/>
      <c r="D144" s="2"/>
      <c r="E144" s="3"/>
    </row>
    <row r="145" spans="3:5" x14ac:dyDescent="0.3">
      <c r="C145" s="2"/>
      <c r="D145" s="2"/>
      <c r="E145" s="3"/>
    </row>
    <row r="146" spans="3:5" x14ac:dyDescent="0.3">
      <c r="C146" s="2"/>
      <c r="D146" s="2"/>
      <c r="E146" s="3"/>
    </row>
    <row r="147" spans="3:5" x14ac:dyDescent="0.3">
      <c r="C147" s="2"/>
      <c r="D147" s="2"/>
      <c r="E147" s="3"/>
    </row>
    <row r="148" spans="3:5" x14ac:dyDescent="0.3">
      <c r="C148" s="2"/>
      <c r="D148" s="2"/>
      <c r="E148" s="3"/>
    </row>
    <row r="149" spans="3:5" x14ac:dyDescent="0.3">
      <c r="C149" s="2"/>
      <c r="D149" s="2"/>
      <c r="E149" s="3"/>
    </row>
    <row r="150" spans="3:5" x14ac:dyDescent="0.3">
      <c r="C150" s="2"/>
      <c r="D150" s="2"/>
      <c r="E150" s="3"/>
    </row>
    <row r="151" spans="3:5" x14ac:dyDescent="0.3">
      <c r="C151" s="2"/>
      <c r="D151" s="2"/>
      <c r="E151" s="3"/>
    </row>
    <row r="152" spans="3:5" x14ac:dyDescent="0.3">
      <c r="C152" s="2"/>
      <c r="D152" s="2"/>
      <c r="E152" s="3"/>
    </row>
    <row r="153" spans="3:5" x14ac:dyDescent="0.3">
      <c r="C153" s="2"/>
      <c r="D153" s="2"/>
    </row>
    <row r="154" spans="3:5" x14ac:dyDescent="0.3">
      <c r="C154" s="2"/>
      <c r="D154" s="2"/>
    </row>
    <row r="155" spans="3:5" x14ac:dyDescent="0.3">
      <c r="C155" s="2"/>
      <c r="D155" s="2"/>
    </row>
    <row r="156" spans="3:5" x14ac:dyDescent="0.3">
      <c r="C156" s="2"/>
      <c r="D156" s="2"/>
    </row>
    <row r="157" spans="3:5" x14ac:dyDescent="0.3">
      <c r="C157" s="2"/>
      <c r="D157" s="2"/>
    </row>
    <row r="158" spans="3:5" x14ac:dyDescent="0.3">
      <c r="C158" s="2"/>
      <c r="D158" s="2"/>
    </row>
    <row r="159" spans="3:5" x14ac:dyDescent="0.3">
      <c r="C159" s="2"/>
      <c r="D159" s="2"/>
    </row>
    <row r="160" spans="3:5" x14ac:dyDescent="0.3">
      <c r="C160" s="2"/>
      <c r="D160" s="2"/>
    </row>
    <row r="161" spans="3:4" x14ac:dyDescent="0.3">
      <c r="C161" s="2"/>
      <c r="D161" s="2"/>
    </row>
    <row r="162" spans="3:4" x14ac:dyDescent="0.3">
      <c r="C162" s="2"/>
      <c r="D162" s="2"/>
    </row>
    <row r="163" spans="3:4" x14ac:dyDescent="0.3">
      <c r="C163" s="2"/>
      <c r="D163" s="2"/>
    </row>
    <row r="164" spans="3:4" x14ac:dyDescent="0.3">
      <c r="C164" s="2"/>
      <c r="D164" s="2"/>
    </row>
    <row r="165" spans="3:4" x14ac:dyDescent="0.3">
      <c r="C165" s="2"/>
      <c r="D165" s="2"/>
    </row>
    <row r="166" spans="3:4" x14ac:dyDescent="0.3">
      <c r="C166" s="2"/>
      <c r="D166" s="2"/>
    </row>
    <row r="167" spans="3:4" x14ac:dyDescent="0.3">
      <c r="C167" s="2"/>
      <c r="D167" s="2"/>
    </row>
    <row r="168" spans="3:4" x14ac:dyDescent="0.3">
      <c r="C168" s="2"/>
      <c r="D168" s="2"/>
    </row>
    <row r="169" spans="3:4" x14ac:dyDescent="0.3">
      <c r="C169" s="2"/>
      <c r="D169" s="2"/>
    </row>
    <row r="170" spans="3:4" x14ac:dyDescent="0.3">
      <c r="C170" s="2"/>
      <c r="D170" s="2"/>
    </row>
    <row r="171" spans="3:4" x14ac:dyDescent="0.3">
      <c r="C171" s="2"/>
      <c r="D171" s="2"/>
    </row>
    <row r="172" spans="3:4" x14ac:dyDescent="0.3">
      <c r="C172" s="2"/>
      <c r="D172" s="2"/>
    </row>
    <row r="173" spans="3:4" x14ac:dyDescent="0.3">
      <c r="C173" s="2"/>
      <c r="D173" s="2"/>
    </row>
    <row r="174" spans="3:4" x14ac:dyDescent="0.3">
      <c r="C174" s="2"/>
      <c r="D174" s="2"/>
    </row>
    <row r="175" spans="3:4" x14ac:dyDescent="0.3">
      <c r="C175" s="2"/>
      <c r="D175" s="2"/>
    </row>
    <row r="176" spans="3:4" x14ac:dyDescent="0.3">
      <c r="C176" s="2"/>
      <c r="D176" s="2"/>
    </row>
    <row r="177" spans="3:4" x14ac:dyDescent="0.3">
      <c r="C177" s="2"/>
      <c r="D177" s="2"/>
    </row>
    <row r="178" spans="3:4" x14ac:dyDescent="0.3">
      <c r="C178" s="2"/>
      <c r="D178" s="2"/>
    </row>
    <row r="179" spans="3:4" x14ac:dyDescent="0.3">
      <c r="C179" s="2"/>
      <c r="D179" s="2"/>
    </row>
    <row r="180" spans="3:4" x14ac:dyDescent="0.3">
      <c r="C180" s="2"/>
      <c r="D180" s="2"/>
    </row>
    <row r="181" spans="3:4" x14ac:dyDescent="0.3">
      <c r="C181" s="2"/>
      <c r="D181" s="2"/>
    </row>
    <row r="182" spans="3:4" x14ac:dyDescent="0.3">
      <c r="C182" s="2"/>
      <c r="D182" s="2"/>
    </row>
    <row r="183" spans="3:4" x14ac:dyDescent="0.3">
      <c r="C183" s="2"/>
      <c r="D183" s="2"/>
    </row>
    <row r="184" spans="3:4" x14ac:dyDescent="0.3">
      <c r="C184" s="2"/>
      <c r="D184" s="2"/>
    </row>
    <row r="185" spans="3:4" x14ac:dyDescent="0.3">
      <c r="C185" s="2"/>
      <c r="D185" s="2"/>
    </row>
    <row r="186" spans="3:4" x14ac:dyDescent="0.3">
      <c r="C186" s="2"/>
      <c r="D186" s="2"/>
    </row>
    <row r="187" spans="3:4" x14ac:dyDescent="0.3">
      <c r="C187" s="2"/>
      <c r="D187" s="2"/>
    </row>
    <row r="188" spans="3:4" x14ac:dyDescent="0.3">
      <c r="C188" s="2"/>
      <c r="D188" s="2"/>
    </row>
    <row r="189" spans="3:4" x14ac:dyDescent="0.3">
      <c r="C189" s="2"/>
      <c r="D189" s="2"/>
    </row>
    <row r="190" spans="3:4" x14ac:dyDescent="0.3">
      <c r="C190" s="2"/>
      <c r="D190" s="2"/>
    </row>
    <row r="191" spans="3:4" x14ac:dyDescent="0.3">
      <c r="C191" s="2"/>
      <c r="D191" s="2"/>
    </row>
    <row r="192" spans="3:4" x14ac:dyDescent="0.3">
      <c r="C192" s="2"/>
      <c r="D192" s="2"/>
    </row>
    <row r="193" spans="3:4" x14ac:dyDescent="0.3">
      <c r="C193" s="2"/>
      <c r="D193" s="2"/>
    </row>
    <row r="194" spans="3:4" x14ac:dyDescent="0.3">
      <c r="C194" s="2"/>
      <c r="D194" s="2"/>
    </row>
    <row r="195" spans="3:4" x14ac:dyDescent="0.3">
      <c r="C195" s="2"/>
      <c r="D195" s="2"/>
    </row>
    <row r="196" spans="3:4" x14ac:dyDescent="0.3">
      <c r="C196" s="2"/>
      <c r="D196" s="2"/>
    </row>
    <row r="197" spans="3:4" x14ac:dyDescent="0.3">
      <c r="C197" s="2"/>
      <c r="D197" s="2"/>
    </row>
    <row r="198" spans="3:4" x14ac:dyDescent="0.3">
      <c r="C198" s="2"/>
      <c r="D198" s="2"/>
    </row>
    <row r="199" spans="3:4" x14ac:dyDescent="0.3">
      <c r="C199" s="2"/>
      <c r="D199" s="2"/>
    </row>
    <row r="200" spans="3:4" x14ac:dyDescent="0.3">
      <c r="C200" s="2"/>
      <c r="D200" s="2"/>
    </row>
    <row r="201" spans="3:4" x14ac:dyDescent="0.3">
      <c r="C201" s="2"/>
      <c r="D201" s="2"/>
    </row>
    <row r="202" spans="3:4" x14ac:dyDescent="0.3">
      <c r="C202" s="2"/>
      <c r="D202" s="2"/>
    </row>
    <row r="203" spans="3:4" x14ac:dyDescent="0.3">
      <c r="C203" s="2"/>
      <c r="D203" s="2"/>
    </row>
    <row r="204" spans="3:4" x14ac:dyDescent="0.3">
      <c r="C204" s="2"/>
      <c r="D204" s="2"/>
    </row>
    <row r="205" spans="3:4" x14ac:dyDescent="0.3">
      <c r="C205" s="2"/>
      <c r="D205" s="2"/>
    </row>
    <row r="206" spans="3:4" x14ac:dyDescent="0.3">
      <c r="C206" s="2"/>
      <c r="D206" s="2"/>
    </row>
    <row r="207" spans="3:4" x14ac:dyDescent="0.3">
      <c r="C207" s="2"/>
      <c r="D207" s="2"/>
    </row>
    <row r="208" spans="3:4" x14ac:dyDescent="0.3">
      <c r="C208" s="2"/>
      <c r="D208" s="2"/>
    </row>
    <row r="209" spans="3:4" x14ac:dyDescent="0.3">
      <c r="C209" s="2"/>
      <c r="D209" s="2"/>
    </row>
    <row r="210" spans="3:4" x14ac:dyDescent="0.3">
      <c r="C210" s="2"/>
      <c r="D210" s="2"/>
    </row>
    <row r="211" spans="3:4" x14ac:dyDescent="0.3">
      <c r="C211" s="2"/>
      <c r="D211" s="2"/>
    </row>
    <row r="212" spans="3:4" x14ac:dyDescent="0.3">
      <c r="C212" s="2"/>
      <c r="D212" s="2"/>
    </row>
    <row r="213" spans="3:4" x14ac:dyDescent="0.3">
      <c r="C213" s="2"/>
      <c r="D213" s="2"/>
    </row>
    <row r="214" spans="3:4" x14ac:dyDescent="0.3">
      <c r="C214" s="2"/>
      <c r="D214" s="2"/>
    </row>
    <row r="215" spans="3:4" x14ac:dyDescent="0.3">
      <c r="C215" s="2"/>
      <c r="D215" s="2"/>
    </row>
    <row r="216" spans="3:4" x14ac:dyDescent="0.3">
      <c r="C216" s="2"/>
      <c r="D216" s="2"/>
    </row>
    <row r="217" spans="3:4" x14ac:dyDescent="0.3">
      <c r="C217" s="2"/>
      <c r="D217" s="2"/>
    </row>
    <row r="218" spans="3:4" x14ac:dyDescent="0.3">
      <c r="C218" s="2"/>
      <c r="D218" s="2"/>
    </row>
    <row r="219" spans="3:4" x14ac:dyDescent="0.3">
      <c r="C219" s="2"/>
      <c r="D219" s="2"/>
    </row>
    <row r="220" spans="3:4" x14ac:dyDescent="0.3">
      <c r="C220" s="2"/>
      <c r="D220" s="2"/>
    </row>
    <row r="221" spans="3:4" x14ac:dyDescent="0.3">
      <c r="C221" s="2"/>
      <c r="D221" s="2"/>
    </row>
    <row r="222" spans="3:4" x14ac:dyDescent="0.3">
      <c r="C222" s="2"/>
      <c r="D222" s="2"/>
    </row>
    <row r="223" spans="3:4" x14ac:dyDescent="0.3">
      <c r="C223" s="2"/>
      <c r="D223" s="2"/>
    </row>
    <row r="224" spans="3:4" x14ac:dyDescent="0.3">
      <c r="C224" s="2"/>
      <c r="D224" s="2"/>
    </row>
    <row r="225" spans="3:4" x14ac:dyDescent="0.3">
      <c r="C225" s="2"/>
      <c r="D225" s="2"/>
    </row>
    <row r="226" spans="3:4" x14ac:dyDescent="0.3">
      <c r="C226" s="2"/>
      <c r="D226" s="2"/>
    </row>
    <row r="227" spans="3:4" x14ac:dyDescent="0.3">
      <c r="C227" s="2"/>
      <c r="D227" s="2"/>
    </row>
    <row r="228" spans="3:4" x14ac:dyDescent="0.3">
      <c r="C228" s="2"/>
      <c r="D228" s="2"/>
    </row>
    <row r="229" spans="3:4" x14ac:dyDescent="0.3">
      <c r="C229" s="2"/>
      <c r="D229" s="2"/>
    </row>
    <row r="230" spans="3:4" x14ac:dyDescent="0.3">
      <c r="C230" s="2"/>
      <c r="D230" s="2"/>
    </row>
    <row r="231" spans="3:4" x14ac:dyDescent="0.3">
      <c r="C231" s="2"/>
      <c r="D231" s="2"/>
    </row>
    <row r="232" spans="3:4" x14ac:dyDescent="0.3">
      <c r="C232" s="2"/>
      <c r="D232" s="2"/>
    </row>
    <row r="233" spans="3:4" x14ac:dyDescent="0.3">
      <c r="C233" s="2"/>
      <c r="D233" s="2"/>
    </row>
    <row r="234" spans="3:4" x14ac:dyDescent="0.3">
      <c r="C234" s="2"/>
      <c r="D234" s="2"/>
    </row>
    <row r="235" spans="3:4" x14ac:dyDescent="0.3">
      <c r="C235" s="2"/>
      <c r="D235" s="2"/>
    </row>
    <row r="236" spans="3:4" x14ac:dyDescent="0.3">
      <c r="C236" s="2"/>
      <c r="D236" s="2"/>
    </row>
    <row r="237" spans="3:4" x14ac:dyDescent="0.3">
      <c r="C237" s="2"/>
      <c r="D237" s="2"/>
    </row>
    <row r="238" spans="3:4" x14ac:dyDescent="0.3">
      <c r="C238" s="2"/>
      <c r="D238" s="2"/>
    </row>
    <row r="239" spans="3:4" x14ac:dyDescent="0.3">
      <c r="C239" s="2"/>
      <c r="D239" s="2"/>
    </row>
    <row r="240" spans="3:4" x14ac:dyDescent="0.3">
      <c r="C240" s="2"/>
      <c r="D240" s="2"/>
    </row>
    <row r="241" spans="3:4" x14ac:dyDescent="0.3">
      <c r="C241" s="2"/>
      <c r="D241" s="2"/>
    </row>
    <row r="242" spans="3:4" x14ac:dyDescent="0.3">
      <c r="C242" s="2"/>
      <c r="D242" s="2"/>
    </row>
    <row r="243" spans="3:4" x14ac:dyDescent="0.3">
      <c r="C243" s="2"/>
      <c r="D243" s="2"/>
    </row>
    <row r="244" spans="3:4" x14ac:dyDescent="0.3">
      <c r="C244" s="2"/>
      <c r="D244" s="2"/>
    </row>
    <row r="245" spans="3:4" x14ac:dyDescent="0.3">
      <c r="C245" s="2"/>
      <c r="D245" s="2"/>
    </row>
    <row r="246" spans="3:4" x14ac:dyDescent="0.3">
      <c r="C246" s="2"/>
      <c r="D246" s="2"/>
    </row>
    <row r="247" spans="3:4" x14ac:dyDescent="0.3">
      <c r="C247" s="2"/>
      <c r="D247" s="2"/>
    </row>
    <row r="248" spans="3:4" x14ac:dyDescent="0.3">
      <c r="C248" s="2"/>
      <c r="D248" s="2"/>
    </row>
    <row r="249" spans="3:4" x14ac:dyDescent="0.3">
      <c r="C249" s="2"/>
      <c r="D249" s="2"/>
    </row>
    <row r="250" spans="3:4" x14ac:dyDescent="0.3">
      <c r="C250" s="2"/>
      <c r="D250" s="2"/>
    </row>
    <row r="251" spans="3:4" x14ac:dyDescent="0.3">
      <c r="C251" s="2"/>
      <c r="D251" s="2"/>
    </row>
    <row r="252" spans="3:4" x14ac:dyDescent="0.3">
      <c r="C252" s="2"/>
      <c r="D252" s="2"/>
    </row>
    <row r="253" spans="3:4" x14ac:dyDescent="0.3">
      <c r="C253" s="2"/>
      <c r="D253" s="2"/>
    </row>
    <row r="254" spans="3:4" x14ac:dyDescent="0.3">
      <c r="C254" s="2"/>
      <c r="D254" s="2"/>
    </row>
    <row r="255" spans="3:4" x14ac:dyDescent="0.3">
      <c r="C255" s="2"/>
      <c r="D255" s="2"/>
    </row>
    <row r="256" spans="3:4" x14ac:dyDescent="0.3">
      <c r="C256" s="2"/>
      <c r="D256" s="2"/>
    </row>
    <row r="257" spans="3:4" x14ac:dyDescent="0.3">
      <c r="C257" s="2"/>
      <c r="D257" s="2"/>
    </row>
    <row r="258" spans="3:4" x14ac:dyDescent="0.3">
      <c r="C258" s="2"/>
      <c r="D258" s="2"/>
    </row>
    <row r="259" spans="3:4" x14ac:dyDescent="0.3">
      <c r="C259" s="2"/>
      <c r="D259" s="2"/>
    </row>
    <row r="260" spans="3:4" x14ac:dyDescent="0.3">
      <c r="C260" s="2"/>
      <c r="D260" s="2"/>
    </row>
    <row r="261" spans="3:4" x14ac:dyDescent="0.3">
      <c r="C261" s="2"/>
      <c r="D261" s="2"/>
    </row>
    <row r="262" spans="3:4" x14ac:dyDescent="0.3">
      <c r="C262" s="2"/>
      <c r="D262" s="2"/>
    </row>
    <row r="263" spans="3:4" x14ac:dyDescent="0.3">
      <c r="C263" s="2"/>
      <c r="D263" s="2"/>
    </row>
    <row r="264" spans="3:4" x14ac:dyDescent="0.3">
      <c r="C264" s="2"/>
      <c r="D264" s="2"/>
    </row>
    <row r="265" spans="3:4" x14ac:dyDescent="0.3">
      <c r="C265" s="2"/>
      <c r="D265" s="2"/>
    </row>
    <row r="266" spans="3:4" x14ac:dyDescent="0.3">
      <c r="C266" s="2"/>
      <c r="D266" s="2"/>
    </row>
    <row r="267" spans="3:4" x14ac:dyDescent="0.3">
      <c r="C267" s="2"/>
      <c r="D267" s="2"/>
    </row>
    <row r="268" spans="3:4" x14ac:dyDescent="0.3">
      <c r="C268" s="2"/>
      <c r="D268" s="2"/>
    </row>
    <row r="269" spans="3:4" x14ac:dyDescent="0.3">
      <c r="C269" s="2"/>
      <c r="D269" s="2"/>
    </row>
    <row r="270" spans="3:4" x14ac:dyDescent="0.3">
      <c r="C270" s="2"/>
      <c r="D270" s="2"/>
    </row>
    <row r="271" spans="3:4" x14ac:dyDescent="0.3">
      <c r="C271" s="2"/>
      <c r="D271" s="2"/>
    </row>
    <row r="272" spans="3:4" x14ac:dyDescent="0.3">
      <c r="C272" s="2"/>
      <c r="D272" s="2"/>
    </row>
    <row r="273" spans="3:4" x14ac:dyDescent="0.3">
      <c r="C273" s="2"/>
      <c r="D273" s="2"/>
    </row>
    <row r="274" spans="3:4" x14ac:dyDescent="0.3">
      <c r="C274" s="2"/>
      <c r="D274" s="2"/>
    </row>
    <row r="275" spans="3:4" x14ac:dyDescent="0.3">
      <c r="C275" s="2"/>
      <c r="D275" s="2"/>
    </row>
  </sheetData>
  <mergeCells count="2">
    <mergeCell ref="A1:M1"/>
    <mergeCell ref="A2:M2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53"/>
  <sheetViews>
    <sheetView topLeftCell="A4" zoomScaleNormal="100" workbookViewId="0">
      <selection sqref="A1:B1"/>
    </sheetView>
  </sheetViews>
  <sheetFormatPr defaultColWidth="8.796875" defaultRowHeight="14" x14ac:dyDescent="0.3"/>
  <cols>
    <col min="1" max="1" width="20.5" style="9" customWidth="1"/>
    <col min="2" max="2" width="6.796875" style="9" customWidth="1"/>
    <col min="3" max="3" width="8.796875" style="9"/>
    <col min="4" max="8" width="6.09765625" style="9" bestFit="1" customWidth="1"/>
    <col min="9" max="9" width="36.296875" style="9" customWidth="1"/>
    <col min="10" max="10" width="10.5" style="9" customWidth="1"/>
    <col min="11" max="21" width="8.19921875" style="9" customWidth="1"/>
    <col min="22" max="22" width="6" style="9" customWidth="1"/>
    <col min="23" max="23" width="10.5" style="9" customWidth="1"/>
    <col min="24" max="24" width="6" style="9" customWidth="1"/>
    <col min="25" max="25" width="9.09765625" style="9" customWidth="1"/>
    <col min="26" max="27" width="6" style="9" customWidth="1"/>
    <col min="28" max="29" width="6.69921875" style="9" bestFit="1" customWidth="1"/>
    <col min="30" max="31" width="6.19921875" style="9" bestFit="1" customWidth="1"/>
    <col min="32" max="33" width="6.69921875" style="9" bestFit="1" customWidth="1"/>
    <col min="34" max="34" width="6.19921875" style="9" bestFit="1" customWidth="1"/>
    <col min="35" max="35" width="10.69921875" style="9" bestFit="1" customWidth="1"/>
    <col min="36" max="36" width="9.296875" style="9" customWidth="1"/>
    <col min="37" max="37" width="7.796875" style="9" bestFit="1" customWidth="1"/>
    <col min="38" max="38" width="7.796875" style="18" bestFit="1" customWidth="1"/>
    <col min="39" max="39" width="10.69921875" style="9" bestFit="1" customWidth="1"/>
    <col min="40" max="40" width="8.796875" style="9"/>
    <col min="41" max="43" width="8.8984375" style="9" bestFit="1" customWidth="1"/>
    <col min="44" max="44" width="12" style="9" customWidth="1"/>
    <col min="45" max="45" width="18" style="9" customWidth="1"/>
    <col min="46" max="16384" width="8.796875" style="9"/>
  </cols>
  <sheetData>
    <row r="1" spans="1:45" ht="14.5" customHeight="1" x14ac:dyDescent="0.3">
      <c r="A1" s="194" t="s">
        <v>289</v>
      </c>
      <c r="B1" s="194"/>
      <c r="C1" s="88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K1" s="189" t="s">
        <v>297</v>
      </c>
      <c r="L1" s="196" t="s">
        <v>298</v>
      </c>
      <c r="M1" s="196"/>
      <c r="N1" s="187" t="s">
        <v>299</v>
      </c>
      <c r="O1" s="187" t="s">
        <v>300</v>
      </c>
      <c r="P1" s="187" t="s">
        <v>301</v>
      </c>
      <c r="Q1" s="187" t="s">
        <v>302</v>
      </c>
      <c r="R1" s="187" t="s">
        <v>303</v>
      </c>
      <c r="S1" s="187" t="s">
        <v>304</v>
      </c>
      <c r="T1" s="187" t="s">
        <v>305</v>
      </c>
      <c r="U1" s="189" t="s">
        <v>306</v>
      </c>
      <c r="V1" s="196" t="s">
        <v>307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89" t="s">
        <v>308</v>
      </c>
      <c r="AL1" s="189" t="s">
        <v>309</v>
      </c>
      <c r="AM1" s="189" t="s">
        <v>310</v>
      </c>
      <c r="AN1" s="88"/>
      <c r="AO1" s="195" t="s">
        <v>311</v>
      </c>
      <c r="AP1" s="195"/>
      <c r="AQ1" s="195" t="s">
        <v>312</v>
      </c>
      <c r="AR1" s="195"/>
      <c r="AS1" s="89" t="s">
        <v>313</v>
      </c>
    </row>
    <row r="2" spans="1:45" ht="14.5" x14ac:dyDescent="0.3">
      <c r="A2" s="90" t="s">
        <v>314</v>
      </c>
      <c r="B2" s="90" t="s">
        <v>346</v>
      </c>
      <c r="C2" s="88"/>
      <c r="D2" s="192"/>
      <c r="E2" s="192"/>
      <c r="F2" s="192"/>
      <c r="G2" s="192"/>
      <c r="H2" s="192"/>
      <c r="I2" s="192"/>
      <c r="J2" s="190"/>
      <c r="K2" s="190"/>
      <c r="L2" s="91" t="s">
        <v>315</v>
      </c>
      <c r="M2" s="91" t="s">
        <v>316</v>
      </c>
      <c r="N2" s="188"/>
      <c r="O2" s="188"/>
      <c r="P2" s="188"/>
      <c r="Q2" s="188"/>
      <c r="R2" s="188"/>
      <c r="S2" s="188"/>
      <c r="T2" s="188"/>
      <c r="U2" s="190"/>
      <c r="V2" s="91" t="s">
        <v>317</v>
      </c>
      <c r="W2" s="91" t="s">
        <v>318</v>
      </c>
      <c r="X2" s="91" t="s">
        <v>319</v>
      </c>
      <c r="Y2" s="91" t="s">
        <v>320</v>
      </c>
      <c r="Z2" s="91" t="s">
        <v>321</v>
      </c>
      <c r="AA2" s="91" t="s">
        <v>322</v>
      </c>
      <c r="AB2" s="91" t="s">
        <v>323</v>
      </c>
      <c r="AC2" s="91" t="s">
        <v>324</v>
      </c>
      <c r="AD2" s="91" t="s">
        <v>325</v>
      </c>
      <c r="AE2" s="91" t="s">
        <v>326</v>
      </c>
      <c r="AF2" s="91" t="s">
        <v>327</v>
      </c>
      <c r="AG2" s="91" t="s">
        <v>328</v>
      </c>
      <c r="AH2" s="91" t="s">
        <v>329</v>
      </c>
      <c r="AI2" s="91" t="s">
        <v>330</v>
      </c>
      <c r="AJ2" s="91" t="s">
        <v>331</v>
      </c>
      <c r="AK2" s="190"/>
      <c r="AL2" s="190"/>
      <c r="AM2" s="190"/>
      <c r="AN2" s="88"/>
      <c r="AO2" s="92" t="s">
        <v>315</v>
      </c>
      <c r="AP2" s="92" t="s">
        <v>316</v>
      </c>
      <c r="AQ2" s="92" t="s">
        <v>315</v>
      </c>
      <c r="AR2" s="92" t="s">
        <v>316</v>
      </c>
      <c r="AS2" s="92" t="s">
        <v>315</v>
      </c>
    </row>
    <row r="3" spans="1:45" ht="14.5" x14ac:dyDescent="0.3">
      <c r="A3" s="88" t="s">
        <v>332</v>
      </c>
      <c r="B3" s="93">
        <v>0.02</v>
      </c>
      <c r="C3" s="88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88"/>
      <c r="J3" s="117"/>
      <c r="K3" s="107"/>
      <c r="L3" s="107">
        <v>54</v>
      </c>
      <c r="M3" s="107">
        <v>84</v>
      </c>
      <c r="N3" s="107">
        <v>2</v>
      </c>
      <c r="O3" s="107">
        <v>5</v>
      </c>
      <c r="P3" s="107"/>
      <c r="Q3" s="107"/>
      <c r="R3" s="107"/>
      <c r="S3" s="107"/>
      <c r="T3" s="107"/>
      <c r="U3" s="117">
        <f t="shared" ref="U3:U34" si="0">SUM(L3:T3)</f>
        <v>145</v>
      </c>
      <c r="V3" s="107">
        <v>38.4</v>
      </c>
      <c r="W3" s="107">
        <v>5</v>
      </c>
      <c r="X3" s="107">
        <v>12</v>
      </c>
      <c r="Y3" s="107">
        <v>3</v>
      </c>
      <c r="Z3" s="107">
        <v>22.8</v>
      </c>
      <c r="AA3" s="107">
        <v>4.08</v>
      </c>
      <c r="AB3" s="107">
        <v>4.5</v>
      </c>
      <c r="AC3" s="107">
        <v>13.6</v>
      </c>
      <c r="AD3" s="107">
        <v>4.88</v>
      </c>
      <c r="AE3" s="107">
        <v>3.8</v>
      </c>
      <c r="AF3" s="107">
        <v>13</v>
      </c>
      <c r="AG3" s="107">
        <v>12</v>
      </c>
      <c r="AH3" s="107">
        <v>6.2</v>
      </c>
      <c r="AI3" s="107"/>
      <c r="AJ3" s="107"/>
      <c r="AK3" s="107">
        <f t="shared" ref="AK3:AK34" si="1">SUM(V3:AJ3)</f>
        <v>143.26</v>
      </c>
      <c r="AL3" s="110">
        <f t="shared" ref="AL3:AL34" si="2">U3-AK3</f>
        <v>1.7400000000000091</v>
      </c>
      <c r="AM3" s="111">
        <v>55</v>
      </c>
      <c r="AN3" s="88"/>
      <c r="AQ3" s="9">
        <v>90</v>
      </c>
      <c r="AR3" s="9">
        <v>90</v>
      </c>
      <c r="AS3" s="9">
        <v>50</v>
      </c>
    </row>
    <row r="4" spans="1:45" ht="14.5" x14ac:dyDescent="0.3">
      <c r="A4" s="88" t="s">
        <v>333</v>
      </c>
      <c r="B4" s="93">
        <v>0.02</v>
      </c>
      <c r="C4" s="88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88"/>
      <c r="J4" s="117">
        <f>AM3</f>
        <v>55</v>
      </c>
      <c r="K4" s="146">
        <v>0.04</v>
      </c>
      <c r="L4" s="107">
        <f>L3*(1+$B$4)</f>
        <v>55.08</v>
      </c>
      <c r="M4" s="107">
        <f>M3*(1+$B$5)</f>
        <v>84.84</v>
      </c>
      <c r="N4" s="107">
        <f>J4*K4</f>
        <v>2.2000000000000002</v>
      </c>
      <c r="O4" s="107">
        <f>O3*(1+$B$3)</f>
        <v>5.0999999999999996</v>
      </c>
      <c r="P4" s="107"/>
      <c r="Q4" s="107"/>
      <c r="R4" s="107"/>
      <c r="S4" s="107"/>
      <c r="T4" s="107"/>
      <c r="U4" s="117">
        <f t="shared" si="0"/>
        <v>147.22</v>
      </c>
      <c r="V4" s="107">
        <v>38.4</v>
      </c>
      <c r="W4" s="107">
        <f>W3*(1+$B$3)</f>
        <v>5.0999999999999996</v>
      </c>
      <c r="X4" s="107">
        <v>12</v>
      </c>
      <c r="Y4" s="107">
        <f>Y3*(1+$B$3)</f>
        <v>3.06</v>
      </c>
      <c r="Z4" s="107">
        <f t="shared" ref="Y4:Z8" si="3">Z3*(1+$B$3)</f>
        <v>23.256</v>
      </c>
      <c r="AA4" s="107">
        <v>4.08</v>
      </c>
      <c r="AB4" s="107">
        <v>4.7</v>
      </c>
      <c r="AC4" s="107">
        <v>13.6</v>
      </c>
      <c r="AD4" s="107">
        <f>AD3*(1+$B$3)</f>
        <v>4.9775999999999998</v>
      </c>
      <c r="AE4" s="107">
        <f t="shared" ref="AD4:AF8" si="4">AE3*(1+$B$3)</f>
        <v>3.8759999999999999</v>
      </c>
      <c r="AF4" s="107">
        <f>AF3*(1+$B$3)</f>
        <v>13.26</v>
      </c>
      <c r="AG4" s="107">
        <v>12</v>
      </c>
      <c r="AH4" s="107">
        <f>AH3*(1+$B$3)</f>
        <v>6.3240000000000007</v>
      </c>
      <c r="AI4" s="107"/>
      <c r="AJ4" s="107"/>
      <c r="AK4" s="107">
        <f t="shared" si="1"/>
        <v>144.6336</v>
      </c>
      <c r="AL4" s="110">
        <f t="shared" si="2"/>
        <v>2.5863999999999976</v>
      </c>
      <c r="AM4" s="111">
        <f t="shared" ref="AM4:AM35" si="5">J4+AL4</f>
        <v>57.586399999999998</v>
      </c>
      <c r="AN4" s="88"/>
      <c r="AO4" s="81">
        <f>L4*0.06</f>
        <v>3.3047999999999997</v>
      </c>
      <c r="AP4" s="81">
        <f>3.82*12*0.06</f>
        <v>2.7503999999999995</v>
      </c>
      <c r="AQ4" s="112">
        <f t="shared" ref="AQ4:AQ27" si="6">AQ3*(1+$B$6)+AO4</f>
        <v>96.904800000000009</v>
      </c>
      <c r="AR4" s="112">
        <f t="shared" ref="AR4:AR27" si="7">AR3*(1+$B$6)+AP4</f>
        <v>96.350400000000008</v>
      </c>
      <c r="AS4" s="112">
        <f t="shared" ref="AS4:AS13" si="8">AS3*(1+$B$7) + 6</f>
        <v>58</v>
      </c>
    </row>
    <row r="5" spans="1:45" ht="14.5" x14ac:dyDescent="0.3">
      <c r="A5" s="88" t="s">
        <v>334</v>
      </c>
      <c r="B5" s="93">
        <v>0.01</v>
      </c>
      <c r="C5" s="88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88"/>
      <c r="J5" s="117">
        <f>AM4</f>
        <v>57.586399999999998</v>
      </c>
      <c r="K5" s="146">
        <v>0.04</v>
      </c>
      <c r="L5" s="107">
        <f>L4*(1+$B$4)</f>
        <v>56.181599999999996</v>
      </c>
      <c r="M5" s="107">
        <f t="shared" ref="M5:M27" si="9">M4*(1+$B$5)</f>
        <v>85.688400000000001</v>
      </c>
      <c r="N5" s="107">
        <f>J5*K5</f>
        <v>2.3034560000000002</v>
      </c>
      <c r="O5" s="107">
        <f t="shared" ref="O5:Q53" si="10">O4*(1+$B$3)</f>
        <v>5.202</v>
      </c>
      <c r="P5" s="107"/>
      <c r="Q5" s="107"/>
      <c r="R5" s="107"/>
      <c r="S5" s="107"/>
      <c r="T5" s="107"/>
      <c r="U5" s="117">
        <f t="shared" si="0"/>
        <v>149.37545600000001</v>
      </c>
      <c r="V5" s="107">
        <v>38.4</v>
      </c>
      <c r="W5" s="107">
        <f>W4*(1+$B$3)</f>
        <v>5.202</v>
      </c>
      <c r="X5" s="107">
        <v>12</v>
      </c>
      <c r="Y5" s="107">
        <f t="shared" si="3"/>
        <v>3.1212</v>
      </c>
      <c r="Z5" s="107">
        <f t="shared" si="3"/>
        <v>23.721119999999999</v>
      </c>
      <c r="AA5" s="107">
        <v>4.08</v>
      </c>
      <c r="AB5" s="107">
        <v>4.9000000000000004</v>
      </c>
      <c r="AC5" s="107">
        <v>13.6</v>
      </c>
      <c r="AD5" s="107">
        <f t="shared" si="4"/>
        <v>5.0771519999999999</v>
      </c>
      <c r="AE5" s="107">
        <f t="shared" si="4"/>
        <v>3.9535200000000001</v>
      </c>
      <c r="AF5" s="107">
        <f t="shared" si="4"/>
        <v>13.5252</v>
      </c>
      <c r="AG5" s="107">
        <v>12</v>
      </c>
      <c r="AH5" s="107">
        <f t="shared" ref="AH5:AH23" si="11">AH4*(1+$B$3)</f>
        <v>6.4504800000000007</v>
      </c>
      <c r="AI5" s="107"/>
      <c r="AJ5" s="107"/>
      <c r="AK5" s="107">
        <f t="shared" si="1"/>
        <v>146.03067200000001</v>
      </c>
      <c r="AL5" s="110">
        <f t="shared" si="2"/>
        <v>3.3447840000000042</v>
      </c>
      <c r="AM5" s="111">
        <f t="shared" si="5"/>
        <v>60.931184000000002</v>
      </c>
      <c r="AN5" s="88"/>
      <c r="AO5" s="81">
        <f t="shared" ref="AO5:AO27" si="12">L5*0.06</f>
        <v>3.3708959999999997</v>
      </c>
      <c r="AP5" s="81">
        <f t="shared" ref="AP5:AP27" si="13">3.82*12*0.06</f>
        <v>2.7503999999999995</v>
      </c>
      <c r="AQ5" s="112">
        <f t="shared" si="6"/>
        <v>104.15188800000001</v>
      </c>
      <c r="AR5" s="112">
        <f t="shared" si="7"/>
        <v>102.95481600000001</v>
      </c>
      <c r="AS5" s="112">
        <f t="shared" si="8"/>
        <v>66.319999999999993</v>
      </c>
    </row>
    <row r="6" spans="1:45" ht="14.5" x14ac:dyDescent="0.3">
      <c r="A6" s="88" t="s">
        <v>335</v>
      </c>
      <c r="B6" s="93">
        <v>0.04</v>
      </c>
      <c r="C6" s="88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88"/>
      <c r="J6" s="117">
        <f>AM5</f>
        <v>60.931184000000002</v>
      </c>
      <c r="K6" s="146">
        <v>0.04</v>
      </c>
      <c r="L6" s="107">
        <f t="shared" ref="L6:L27" si="14">L5*(1+$B$4)</f>
        <v>57.305231999999997</v>
      </c>
      <c r="M6" s="107">
        <f t="shared" si="9"/>
        <v>86.545283999999995</v>
      </c>
      <c r="N6" s="107">
        <f>J6*K6</f>
        <v>2.4372473600000002</v>
      </c>
      <c r="O6" s="107">
        <f t="shared" si="10"/>
        <v>5.3060400000000003</v>
      </c>
      <c r="P6" s="107"/>
      <c r="Q6" s="107"/>
      <c r="R6" s="107"/>
      <c r="S6" s="107"/>
      <c r="T6" s="107"/>
      <c r="U6" s="117">
        <f t="shared" si="0"/>
        <v>151.59380335999998</v>
      </c>
      <c r="V6" s="107">
        <v>38.4</v>
      </c>
      <c r="W6" s="107">
        <f>W5*(1+$B$3)</f>
        <v>5.3060400000000003</v>
      </c>
      <c r="X6" s="107">
        <v>12</v>
      </c>
      <c r="Y6" s="107">
        <f t="shared" si="3"/>
        <v>3.183624</v>
      </c>
      <c r="Z6" s="107">
        <f t="shared" si="3"/>
        <v>24.195542400000001</v>
      </c>
      <c r="AA6" s="107">
        <v>4.08</v>
      </c>
      <c r="AB6" s="107">
        <v>5.3</v>
      </c>
      <c r="AC6" s="107">
        <v>13.6</v>
      </c>
      <c r="AD6" s="107">
        <f t="shared" si="4"/>
        <v>5.17869504</v>
      </c>
      <c r="AE6" s="107">
        <f t="shared" si="4"/>
        <v>4.0325904000000001</v>
      </c>
      <c r="AF6" s="107">
        <f t="shared" si="4"/>
        <v>13.795704000000001</v>
      </c>
      <c r="AG6" s="107">
        <v>12</v>
      </c>
      <c r="AH6" s="107">
        <f t="shared" si="11"/>
        <v>6.5794896000000005</v>
      </c>
      <c r="AI6" s="107"/>
      <c r="AJ6" s="107"/>
      <c r="AK6" s="107">
        <f t="shared" si="1"/>
        <v>147.65168543999999</v>
      </c>
      <c r="AL6" s="110">
        <f t="shared" si="2"/>
        <v>3.942117919999987</v>
      </c>
      <c r="AM6" s="111">
        <f t="shared" si="5"/>
        <v>64.873301919999989</v>
      </c>
      <c r="AN6" s="88"/>
      <c r="AO6" s="81">
        <f t="shared" si="12"/>
        <v>3.4383139199999997</v>
      </c>
      <c r="AP6" s="81">
        <f t="shared" si="13"/>
        <v>2.7503999999999995</v>
      </c>
      <c r="AQ6" s="112">
        <f t="shared" si="6"/>
        <v>111.75627744000002</v>
      </c>
      <c r="AR6" s="112">
        <f t="shared" si="7"/>
        <v>109.82340864000001</v>
      </c>
      <c r="AS6" s="112">
        <f t="shared" si="8"/>
        <v>74.972799999999992</v>
      </c>
    </row>
    <row r="7" spans="1:45" ht="14.5" x14ac:dyDescent="0.3">
      <c r="A7" s="95" t="s">
        <v>336</v>
      </c>
      <c r="B7" s="96">
        <v>0.04</v>
      </c>
      <c r="C7" s="88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88" t="s">
        <v>337</v>
      </c>
      <c r="J7" s="117">
        <f>AM6</f>
        <v>64.873301919999989</v>
      </c>
      <c r="K7" s="146">
        <v>0.04</v>
      </c>
      <c r="L7" s="107">
        <f t="shared" si="14"/>
        <v>58.451336640000001</v>
      </c>
      <c r="M7" s="107">
        <f t="shared" si="9"/>
        <v>87.410736839999998</v>
      </c>
      <c r="N7" s="107">
        <f>J7*K7</f>
        <v>2.5949320767999997</v>
      </c>
      <c r="O7" s="107">
        <f t="shared" si="10"/>
        <v>5.4121608000000005</v>
      </c>
      <c r="P7" s="107"/>
      <c r="Q7" s="107"/>
      <c r="R7" s="107"/>
      <c r="S7" s="107"/>
      <c r="T7" s="107"/>
      <c r="U7" s="117">
        <f t="shared" si="0"/>
        <v>153.86916635680001</v>
      </c>
      <c r="V7" s="107">
        <v>38.4</v>
      </c>
      <c r="W7" s="107">
        <f>W6*(1+$B$3)</f>
        <v>5.4121608000000005</v>
      </c>
      <c r="X7" s="107">
        <v>12</v>
      </c>
      <c r="Y7" s="107">
        <f t="shared" si="3"/>
        <v>3.2472964800000002</v>
      </c>
      <c r="Z7" s="107">
        <f t="shared" si="3"/>
        <v>24.679453248000002</v>
      </c>
      <c r="AA7" s="107">
        <v>4.08</v>
      </c>
      <c r="AB7" s="107">
        <v>5.5</v>
      </c>
      <c r="AC7" s="107">
        <v>13.6</v>
      </c>
      <c r="AD7" s="107">
        <f t="shared" si="4"/>
        <v>5.2822689407999999</v>
      </c>
      <c r="AE7" s="107">
        <f t="shared" si="4"/>
        <v>4.113242208</v>
      </c>
      <c r="AF7" s="107">
        <f t="shared" si="4"/>
        <v>14.07161808</v>
      </c>
      <c r="AG7" s="107">
        <v>12</v>
      </c>
      <c r="AH7" s="107">
        <f t="shared" si="11"/>
        <v>6.7110793920000003</v>
      </c>
      <c r="AI7" s="107"/>
      <c r="AJ7" s="107">
        <f>理財目標費用終值!D16</f>
        <v>21.648643199999999</v>
      </c>
      <c r="AK7" s="107">
        <f t="shared" si="1"/>
        <v>170.74576234879999</v>
      </c>
      <c r="AL7" s="110">
        <f t="shared" si="2"/>
        <v>-16.876595991999977</v>
      </c>
      <c r="AM7" s="111">
        <f t="shared" si="5"/>
        <v>47.996705928000011</v>
      </c>
      <c r="AN7" s="88"/>
      <c r="AO7" s="81">
        <f t="shared" si="12"/>
        <v>3.5070801983999997</v>
      </c>
      <c r="AP7" s="81">
        <f t="shared" si="13"/>
        <v>2.7503999999999995</v>
      </c>
      <c r="AQ7" s="112">
        <f t="shared" si="6"/>
        <v>119.73360873600002</v>
      </c>
      <c r="AR7" s="112">
        <f t="shared" si="7"/>
        <v>116.96674498560002</v>
      </c>
      <c r="AS7" s="112">
        <f t="shared" si="8"/>
        <v>83.971711999999997</v>
      </c>
    </row>
    <row r="8" spans="1:45" ht="14.5" x14ac:dyDescent="0.3">
      <c r="C8" s="88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88" t="s">
        <v>338</v>
      </c>
      <c r="J8" s="117">
        <f>AM7</f>
        <v>47.996705928000011</v>
      </c>
      <c r="K8" s="146">
        <v>0.04</v>
      </c>
      <c r="L8" s="107">
        <f t="shared" si="14"/>
        <v>59.6203633728</v>
      </c>
      <c r="M8" s="107">
        <f t="shared" si="9"/>
        <v>88.284844208400003</v>
      </c>
      <c r="N8" s="107">
        <f>J8*K8</f>
        <v>1.9198682371200004</v>
      </c>
      <c r="O8" s="107">
        <f t="shared" si="10"/>
        <v>5.5204040160000005</v>
      </c>
      <c r="P8" s="107"/>
      <c r="Q8" s="107"/>
      <c r="R8" s="107"/>
      <c r="S8" s="107"/>
      <c r="T8" s="107"/>
      <c r="U8" s="117">
        <f t="shared" si="0"/>
        <v>155.34547983431997</v>
      </c>
      <c r="V8" s="107">
        <v>38.4</v>
      </c>
      <c r="W8" s="107">
        <f>W7*(1+$B$3)</f>
        <v>5.5204040160000005</v>
      </c>
      <c r="X8" s="107"/>
      <c r="Y8" s="107">
        <f t="shared" si="3"/>
        <v>3.3122424096</v>
      </c>
      <c r="Z8" s="107">
        <f>Z7*(1+$B$3)*(3/4)</f>
        <v>18.879781734720002</v>
      </c>
      <c r="AA8" s="107">
        <v>4.08</v>
      </c>
      <c r="AB8" s="107">
        <v>5.3</v>
      </c>
      <c r="AC8" s="107">
        <v>13.6</v>
      </c>
      <c r="AD8" s="107">
        <f t="shared" si="4"/>
        <v>5.3879143196159998</v>
      </c>
      <c r="AE8" s="107">
        <f t="shared" si="4"/>
        <v>4.19550705216</v>
      </c>
      <c r="AF8" s="107">
        <f>AF7*(1+$B$3)*0.5</f>
        <v>7.1765252208000003</v>
      </c>
      <c r="AG8" s="107">
        <v>12</v>
      </c>
      <c r="AH8" s="107">
        <f t="shared" si="11"/>
        <v>6.8453009798400002</v>
      </c>
      <c r="AI8" s="107"/>
      <c r="AJ8" s="107">
        <f>理財目標費用終值!D3</f>
        <v>27.602020079999999</v>
      </c>
      <c r="AK8" s="107">
        <f t="shared" si="1"/>
        <v>152.29969581273599</v>
      </c>
      <c r="AL8" s="110">
        <f t="shared" si="2"/>
        <v>3.0457840215839838</v>
      </c>
      <c r="AM8" s="111">
        <f t="shared" si="5"/>
        <v>51.042489949583995</v>
      </c>
      <c r="AN8" s="88"/>
      <c r="AO8" s="81">
        <f t="shared" si="12"/>
        <v>3.5772218023679998</v>
      </c>
      <c r="AP8" s="81">
        <f t="shared" si="13"/>
        <v>2.7503999999999995</v>
      </c>
      <c r="AQ8" s="112">
        <f t="shared" si="6"/>
        <v>128.10017488780801</v>
      </c>
      <c r="AR8" s="112">
        <f t="shared" si="7"/>
        <v>124.39581478502402</v>
      </c>
      <c r="AS8" s="112">
        <f t="shared" si="8"/>
        <v>93.330580479999995</v>
      </c>
    </row>
    <row r="9" spans="1:45" ht="14.5" x14ac:dyDescent="0.3">
      <c r="A9" s="88"/>
      <c r="B9" s="97"/>
      <c r="C9" s="88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88" t="s">
        <v>339</v>
      </c>
      <c r="J9" s="117">
        <f t="shared" ref="J9:J53" si="15">AM8</f>
        <v>51.042489949583995</v>
      </c>
      <c r="K9" s="146">
        <v>0.04</v>
      </c>
      <c r="L9" s="107">
        <f t="shared" si="14"/>
        <v>60.812770640255998</v>
      </c>
      <c r="M9" s="107">
        <f t="shared" si="9"/>
        <v>89.167692650484</v>
      </c>
      <c r="N9" s="107">
        <v>3</v>
      </c>
      <c r="O9" s="107">
        <f t="shared" si="10"/>
        <v>5.6308120963200006</v>
      </c>
      <c r="P9" s="107"/>
      <c r="Q9" s="107"/>
      <c r="R9" s="107"/>
      <c r="S9" s="107"/>
      <c r="T9" s="107"/>
      <c r="U9" s="117">
        <f t="shared" si="0"/>
        <v>158.61127538706</v>
      </c>
      <c r="V9" s="107">
        <v>38.4</v>
      </c>
      <c r="W9" s="107">
        <v>6</v>
      </c>
      <c r="X9" s="107"/>
      <c r="Y9" s="107">
        <v>4</v>
      </c>
      <c r="Z9" s="107">
        <f>Z8*(1+$B$3)</f>
        <v>19.257377369414403</v>
      </c>
      <c r="AA9" s="107">
        <v>4.08</v>
      </c>
      <c r="AB9" s="107">
        <v>5.6</v>
      </c>
      <c r="AC9" s="107">
        <v>13.6</v>
      </c>
      <c r="AD9" s="107">
        <f t="shared" ref="AD9" si="16">AD8*(1+$B$3)</f>
        <v>5.4956726060083199</v>
      </c>
      <c r="AE9" s="107">
        <f>AE8*(1+$B$3)</f>
        <v>4.2794171932031997</v>
      </c>
      <c r="AF9" s="107">
        <f>AF8*(1+$B$3)</f>
        <v>7.3200557252160001</v>
      </c>
      <c r="AG9" s="107">
        <v>12</v>
      </c>
      <c r="AH9" s="107">
        <f t="shared" si="11"/>
        <v>6.9822069994368006</v>
      </c>
      <c r="AI9" s="107"/>
      <c r="AJ9" s="107">
        <f>理財目標費用終值!D4</f>
        <v>28.154060481600002</v>
      </c>
      <c r="AK9" s="107">
        <f t="shared" si="1"/>
        <v>155.16879037487871</v>
      </c>
      <c r="AL9" s="110">
        <f t="shared" si="2"/>
        <v>3.4424850121812938</v>
      </c>
      <c r="AM9" s="111">
        <f t="shared" si="5"/>
        <v>54.484974961765289</v>
      </c>
      <c r="AN9" s="88"/>
      <c r="AO9" s="81">
        <f t="shared" si="12"/>
        <v>3.6487662384153596</v>
      </c>
      <c r="AP9" s="81">
        <f t="shared" si="13"/>
        <v>2.7503999999999995</v>
      </c>
      <c r="AQ9" s="112">
        <f t="shared" si="6"/>
        <v>136.8729481217357</v>
      </c>
      <c r="AR9" s="112">
        <f t="shared" si="7"/>
        <v>132.122047376425</v>
      </c>
      <c r="AS9" s="112">
        <f t="shared" si="8"/>
        <v>103.06380369919999</v>
      </c>
    </row>
    <row r="10" spans="1:45" ht="14.5" x14ac:dyDescent="0.3">
      <c r="A10" s="88"/>
      <c r="B10" s="97"/>
      <c r="C10" s="88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88" t="s">
        <v>340</v>
      </c>
      <c r="J10" s="117">
        <f t="shared" si="15"/>
        <v>54.484974961765289</v>
      </c>
      <c r="K10" s="146">
        <v>0.04</v>
      </c>
      <c r="L10" s="107">
        <f t="shared" si="14"/>
        <v>62.029026053061116</v>
      </c>
      <c r="M10" s="107">
        <f t="shared" si="9"/>
        <v>90.059369576988843</v>
      </c>
      <c r="N10" s="107">
        <f>J10*K10</f>
        <v>2.1793989984706115</v>
      </c>
      <c r="O10" s="107">
        <f t="shared" si="10"/>
        <v>5.7434283382464004</v>
      </c>
      <c r="P10" s="107"/>
      <c r="Q10" s="107"/>
      <c r="R10" s="107"/>
      <c r="S10" s="107"/>
      <c r="T10" s="107"/>
      <c r="U10" s="117">
        <f t="shared" si="0"/>
        <v>160.01122296676695</v>
      </c>
      <c r="V10" s="107">
        <v>38.4</v>
      </c>
      <c r="W10" s="107">
        <f t="shared" ref="W10:W26" si="17">W9*(1+$B$3)</f>
        <v>6.12</v>
      </c>
      <c r="X10" s="107"/>
      <c r="Y10" s="107">
        <f>Y9*(1+$B$3)</f>
        <v>4.08</v>
      </c>
      <c r="Z10" s="107">
        <f>Z9*(1+$B$3)*(2/3)</f>
        <v>13.095016611201794</v>
      </c>
      <c r="AA10" s="107">
        <v>4.08</v>
      </c>
      <c r="AB10" s="107">
        <v>5.0999999999999996</v>
      </c>
      <c r="AC10" s="107">
        <v>13.6</v>
      </c>
      <c r="AD10" s="107">
        <f t="shared" ref="AD10" si="18">AD9*(1+$B$3)</f>
        <v>5.6055860581284866</v>
      </c>
      <c r="AE10" s="107">
        <f t="shared" ref="AE10:AE14" si="19">AE9*(1+$B$3)</f>
        <v>4.3650055370672636</v>
      </c>
      <c r="AF10" s="107"/>
      <c r="AG10" s="107">
        <v>12</v>
      </c>
      <c r="AH10" s="107">
        <f t="shared" si="11"/>
        <v>7.1218511394255364</v>
      </c>
      <c r="AI10" s="107"/>
      <c r="AJ10" s="107">
        <f>理財目標費用終值!D5+理財目標費用終值!D8</f>
        <v>57.434283382463988</v>
      </c>
      <c r="AK10" s="107">
        <f t="shared" si="1"/>
        <v>171.00174272828704</v>
      </c>
      <c r="AL10" s="110">
        <f t="shared" si="2"/>
        <v>-10.99051976152009</v>
      </c>
      <c r="AM10" s="111">
        <f t="shared" si="5"/>
        <v>43.494455200245199</v>
      </c>
      <c r="AN10" s="88"/>
      <c r="AO10" s="81">
        <f t="shared" si="12"/>
        <v>3.721741563183667</v>
      </c>
      <c r="AP10" s="81">
        <f t="shared" si="13"/>
        <v>2.7503999999999995</v>
      </c>
      <c r="AQ10" s="112">
        <f t="shared" si="6"/>
        <v>146.06960760978879</v>
      </c>
      <c r="AR10" s="112">
        <f t="shared" si="7"/>
        <v>140.15732927148201</v>
      </c>
      <c r="AS10" s="112">
        <f t="shared" si="8"/>
        <v>113.186355847168</v>
      </c>
    </row>
    <row r="11" spans="1:45" ht="14.5" x14ac:dyDescent="0.3">
      <c r="A11" s="88"/>
      <c r="B11" s="97"/>
      <c r="C11" s="88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88" t="s">
        <v>341</v>
      </c>
      <c r="J11" s="117">
        <f t="shared" si="15"/>
        <v>43.494455200245199</v>
      </c>
      <c r="K11" s="146">
        <v>0.04</v>
      </c>
      <c r="L11" s="107">
        <f t="shared" si="14"/>
        <v>63.269606574122342</v>
      </c>
      <c r="M11" s="107">
        <f t="shared" si="9"/>
        <v>90.959963272758728</v>
      </c>
      <c r="N11" s="107">
        <f>J11*K11</f>
        <v>1.7397782080098079</v>
      </c>
      <c r="O11" s="107">
        <f t="shared" si="10"/>
        <v>5.8582969050113283</v>
      </c>
      <c r="P11" s="107"/>
      <c r="Q11" s="107"/>
      <c r="R11" s="107"/>
      <c r="S11" s="107"/>
      <c r="T11" s="107"/>
      <c r="U11" s="117">
        <f t="shared" si="0"/>
        <v>161.82764495990219</v>
      </c>
      <c r="V11" s="107">
        <v>38.4</v>
      </c>
      <c r="W11" s="107">
        <f t="shared" si="17"/>
        <v>6.2423999999999999</v>
      </c>
      <c r="X11" s="107"/>
      <c r="Y11" s="107">
        <f>Y10*(1+$B$3)</f>
        <v>4.1616</v>
      </c>
      <c r="Z11" s="107">
        <f>Z10*(1+$B$3)</f>
        <v>13.35691694342583</v>
      </c>
      <c r="AA11" s="107">
        <v>4.08</v>
      </c>
      <c r="AB11" s="107">
        <v>5.8</v>
      </c>
      <c r="AC11" s="107">
        <v>13.6</v>
      </c>
      <c r="AD11" s="107">
        <f t="shared" ref="AD11" si="20">AD10*(1+$B$3)</f>
        <v>5.7176977792910568</v>
      </c>
      <c r="AE11" s="107">
        <f t="shared" si="19"/>
        <v>4.4523056478086085</v>
      </c>
      <c r="AF11" s="107"/>
      <c r="AG11" s="107">
        <v>12</v>
      </c>
      <c r="AH11" s="107">
        <f t="shared" si="11"/>
        <v>7.2642881622140472</v>
      </c>
      <c r="AI11" s="107"/>
      <c r="AJ11" s="107">
        <f>理財目標費用終值!D6+理財目標費用終值!D9+理財目標費用終值!D17</f>
        <v>82.01615667015858</v>
      </c>
      <c r="AK11" s="107">
        <f t="shared" si="1"/>
        <v>197.09136520289812</v>
      </c>
      <c r="AL11" s="110">
        <f t="shared" si="2"/>
        <v>-35.26372024299593</v>
      </c>
      <c r="AM11" s="111">
        <f t="shared" si="5"/>
        <v>8.2307349572492683</v>
      </c>
      <c r="AN11" s="88"/>
      <c r="AO11" s="81">
        <f t="shared" si="12"/>
        <v>3.7961763944473406</v>
      </c>
      <c r="AP11" s="81">
        <f t="shared" si="13"/>
        <v>2.7503999999999995</v>
      </c>
      <c r="AQ11" s="112">
        <f t="shared" si="6"/>
        <v>155.70856830862769</v>
      </c>
      <c r="AR11" s="112">
        <f t="shared" si="7"/>
        <v>148.51402244234131</v>
      </c>
      <c r="AS11" s="112">
        <f t="shared" si="8"/>
        <v>123.71381008105473</v>
      </c>
    </row>
    <row r="12" spans="1:45" ht="14.5" x14ac:dyDescent="0.3">
      <c r="A12" s="88"/>
      <c r="B12" s="97"/>
      <c r="C12" s="88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88" t="s">
        <v>342</v>
      </c>
      <c r="J12" s="117">
        <f t="shared" si="15"/>
        <v>8.2307349572492683</v>
      </c>
      <c r="K12" s="146">
        <v>0.04</v>
      </c>
      <c r="L12" s="107">
        <f t="shared" si="14"/>
        <v>64.534998705604792</v>
      </c>
      <c r="M12" s="107">
        <f t="shared" si="9"/>
        <v>91.869562905486319</v>
      </c>
      <c r="N12" s="107">
        <f>J12*K12</f>
        <v>0.32922939828997072</v>
      </c>
      <c r="O12" s="107">
        <f t="shared" si="10"/>
        <v>5.9754628431115551</v>
      </c>
      <c r="P12" s="107"/>
      <c r="Q12" s="107"/>
      <c r="R12" s="107"/>
      <c r="S12" s="107"/>
      <c r="T12" s="107"/>
      <c r="U12" s="117">
        <f t="shared" si="0"/>
        <v>162.70925385249265</v>
      </c>
      <c r="V12" s="107">
        <v>38.4</v>
      </c>
      <c r="W12" s="107">
        <f t="shared" si="17"/>
        <v>6.367248</v>
      </c>
      <c r="X12" s="107"/>
      <c r="Y12" s="107">
        <f>Y11*(1+$B$3)</f>
        <v>4.2448319999999997</v>
      </c>
      <c r="Z12" s="107">
        <f>Z11*(1+$B$3)</f>
        <v>13.624055282294346</v>
      </c>
      <c r="AA12" s="107">
        <v>4.08</v>
      </c>
      <c r="AB12" s="107">
        <v>6.3</v>
      </c>
      <c r="AC12" s="107">
        <v>13.6</v>
      </c>
      <c r="AD12" s="107">
        <f t="shared" ref="AD12" si="21">AD11*(1+$B$3)</f>
        <v>5.8320517348768783</v>
      </c>
      <c r="AE12" s="107">
        <f t="shared" si="19"/>
        <v>4.5413517607647806</v>
      </c>
      <c r="AF12" s="107"/>
      <c r="AG12" s="107">
        <v>12</v>
      </c>
      <c r="AH12" s="107">
        <f t="shared" si="11"/>
        <v>7.4095739254583286</v>
      </c>
      <c r="AI12" s="107"/>
      <c r="AJ12" s="107">
        <f>理財目標費用終值!D10</f>
        <v>29.877314215557771</v>
      </c>
      <c r="AK12" s="107">
        <f t="shared" si="1"/>
        <v>146.2764269189521</v>
      </c>
      <c r="AL12" s="110">
        <f t="shared" si="2"/>
        <v>16.432826933540554</v>
      </c>
      <c r="AM12" s="111">
        <f t="shared" si="5"/>
        <v>24.663561890789822</v>
      </c>
      <c r="AN12" s="88"/>
      <c r="AO12" s="81">
        <f t="shared" si="12"/>
        <v>3.8720999223362873</v>
      </c>
      <c r="AP12" s="81">
        <f t="shared" si="13"/>
        <v>2.7503999999999995</v>
      </c>
      <c r="AQ12" s="112">
        <f t="shared" si="6"/>
        <v>165.80901096330908</v>
      </c>
      <c r="AR12" s="112">
        <f t="shared" si="7"/>
        <v>157.204983340035</v>
      </c>
      <c r="AS12" s="112">
        <f t="shared" si="8"/>
        <v>134.66236248429692</v>
      </c>
    </row>
    <row r="13" spans="1:45" ht="14.5" x14ac:dyDescent="0.3">
      <c r="A13" s="88"/>
      <c r="B13" s="97"/>
      <c r="C13" s="88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88" t="s">
        <v>343</v>
      </c>
      <c r="J13" s="117">
        <f t="shared" si="15"/>
        <v>24.663561890789822</v>
      </c>
      <c r="K13" s="146">
        <v>0.04</v>
      </c>
      <c r="L13" s="107">
        <f t="shared" si="14"/>
        <v>65.825698679716893</v>
      </c>
      <c r="M13" s="107">
        <f t="shared" si="9"/>
        <v>92.788258534541185</v>
      </c>
      <c r="N13" s="107">
        <f>J13*K13</f>
        <v>0.98654247563159292</v>
      </c>
      <c r="O13" s="107">
        <f t="shared" si="10"/>
        <v>6.094972099973786</v>
      </c>
      <c r="P13" s="107"/>
      <c r="Q13" s="107"/>
      <c r="R13" s="107"/>
      <c r="S13" s="107"/>
      <c r="T13" s="107"/>
      <c r="U13" s="117">
        <f t="shared" si="0"/>
        <v>165.69547178986343</v>
      </c>
      <c r="V13" s="107">
        <v>38.4</v>
      </c>
      <c r="W13" s="107">
        <f t="shared" si="17"/>
        <v>6.4945929600000003</v>
      </c>
      <c r="X13" s="107"/>
      <c r="Y13" s="107">
        <f>Y12*(1+$B$3)</f>
        <v>4.3297286399999999</v>
      </c>
      <c r="Z13" s="107">
        <f>Z12*(1+$B$3)</f>
        <v>13.896536387940234</v>
      </c>
      <c r="AA13" s="107">
        <v>4.08</v>
      </c>
      <c r="AB13" s="107">
        <v>6.6</v>
      </c>
      <c r="AC13" s="107">
        <v>13.6</v>
      </c>
      <c r="AD13" s="107">
        <f t="shared" ref="AD13" si="22">AD12*(1+$B$3)</f>
        <v>5.9486927695744161</v>
      </c>
      <c r="AE13" s="107">
        <f t="shared" si="19"/>
        <v>4.6321787959800762</v>
      </c>
      <c r="AF13" s="107"/>
      <c r="AG13" s="107">
        <f>12*2</f>
        <v>24</v>
      </c>
      <c r="AH13" s="107">
        <f t="shared" si="11"/>
        <v>7.5577654039674957</v>
      </c>
      <c r="AI13" s="107"/>
      <c r="AJ13" s="107">
        <f>理財目標費用終值!D11+理財目標費用終值!D13</f>
        <v>115.80446989950192</v>
      </c>
      <c r="AK13" s="107">
        <f t="shared" si="1"/>
        <v>245.34396485696413</v>
      </c>
      <c r="AL13" s="110">
        <f t="shared" si="2"/>
        <v>-79.648493067100702</v>
      </c>
      <c r="AM13" s="111">
        <f t="shared" si="5"/>
        <v>-54.98493117631088</v>
      </c>
      <c r="AN13" s="88"/>
      <c r="AO13" s="81">
        <f t="shared" si="12"/>
        <v>3.9495419207830134</v>
      </c>
      <c r="AP13" s="81">
        <f t="shared" si="13"/>
        <v>2.7503999999999995</v>
      </c>
      <c r="AQ13" s="112">
        <f t="shared" si="6"/>
        <v>176.39091332262447</v>
      </c>
      <c r="AR13" s="112">
        <f t="shared" si="7"/>
        <v>166.24358267363641</v>
      </c>
      <c r="AS13" s="112">
        <f t="shared" si="8"/>
        <v>146.0488569836688</v>
      </c>
    </row>
    <row r="14" spans="1:45" x14ac:dyDescent="0.3">
      <c r="A14" s="88"/>
      <c r="B14" s="97"/>
      <c r="C14" s="88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88"/>
      <c r="J14" s="117">
        <f t="shared" si="15"/>
        <v>-54.98493117631088</v>
      </c>
      <c r="K14" s="146">
        <v>0.04</v>
      </c>
      <c r="L14" s="107">
        <f t="shared" si="14"/>
        <v>67.142212653311233</v>
      </c>
      <c r="M14" s="107">
        <f t="shared" si="9"/>
        <v>93.716141119886601</v>
      </c>
      <c r="N14" s="107">
        <f>J14*K14</f>
        <v>-2.1993972470524352</v>
      </c>
      <c r="O14" s="107">
        <f t="shared" si="10"/>
        <v>6.2168715419732621</v>
      </c>
      <c r="P14" s="107"/>
      <c r="Q14" s="107"/>
      <c r="R14" s="107"/>
      <c r="S14" s="107"/>
      <c r="T14" s="107"/>
      <c r="U14" s="117">
        <f t="shared" si="0"/>
        <v>164.87582806811866</v>
      </c>
      <c r="V14" s="107">
        <v>38.4</v>
      </c>
      <c r="W14" s="107">
        <f t="shared" si="17"/>
        <v>6.6244848192000001</v>
      </c>
      <c r="X14" s="107"/>
      <c r="Y14" s="107">
        <f>Y13*(1+$B$3)</f>
        <v>4.4163232128000001</v>
      </c>
      <c r="Z14" s="107">
        <f>Z13*(1+$B$3)</f>
        <v>14.17446711569904</v>
      </c>
      <c r="AA14" s="107">
        <v>4.08</v>
      </c>
      <c r="AB14" s="107">
        <v>7.2</v>
      </c>
      <c r="AC14" s="107">
        <v>7.6</v>
      </c>
      <c r="AD14" s="107">
        <f t="shared" ref="AD14" si="23">AD13*(1+$B$3)</f>
        <v>6.0676666249659048</v>
      </c>
      <c r="AE14" s="107">
        <f t="shared" si="19"/>
        <v>4.7248223718996778</v>
      </c>
      <c r="AF14" s="107"/>
      <c r="AG14" s="107">
        <f t="shared" ref="AG14:AG23" si="24">12*2</f>
        <v>24</v>
      </c>
      <c r="AH14" s="107">
        <f t="shared" si="11"/>
        <v>7.7089207120468455</v>
      </c>
      <c r="AI14" s="107"/>
      <c r="AJ14" s="107"/>
      <c r="AK14" s="107">
        <f t="shared" si="1"/>
        <v>124.99668485661147</v>
      </c>
      <c r="AL14" s="110">
        <f t="shared" si="2"/>
        <v>39.879143211507198</v>
      </c>
      <c r="AM14" s="111">
        <f t="shared" si="5"/>
        <v>-15.105787964803682</v>
      </c>
      <c r="AN14" s="88"/>
      <c r="AO14" s="81">
        <f t="shared" si="12"/>
        <v>4.0285327591986739</v>
      </c>
      <c r="AP14" s="81">
        <f t="shared" si="13"/>
        <v>2.7503999999999995</v>
      </c>
      <c r="AQ14" s="112">
        <f t="shared" si="6"/>
        <v>187.47508261472814</v>
      </c>
      <c r="AR14" s="112">
        <f t="shared" si="7"/>
        <v>175.64372598058188</v>
      </c>
      <c r="AS14" s="112">
        <f t="shared" ref="AS14:AS27" si="25">AS13*(1+$B$7)</f>
        <v>151.89081126301556</v>
      </c>
    </row>
    <row r="15" spans="1:45" x14ac:dyDescent="0.3">
      <c r="A15" s="88"/>
      <c r="B15" s="98"/>
      <c r="C15" s="88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88"/>
      <c r="J15" s="117">
        <f t="shared" si="15"/>
        <v>-15.105787964803682</v>
      </c>
      <c r="K15" s="146">
        <v>0.04</v>
      </c>
      <c r="L15" s="107">
        <f t="shared" si="14"/>
        <v>68.485056906377466</v>
      </c>
      <c r="M15" s="107">
        <f t="shared" si="9"/>
        <v>94.653302531085473</v>
      </c>
      <c r="N15" s="107">
        <v>4</v>
      </c>
      <c r="O15" s="107">
        <f t="shared" si="10"/>
        <v>6.3412089728127272</v>
      </c>
      <c r="P15" s="107"/>
      <c r="Q15" s="107"/>
      <c r="R15" s="107"/>
      <c r="S15" s="107"/>
      <c r="T15" s="107"/>
      <c r="U15" s="117">
        <f t="shared" si="0"/>
        <v>173.47956841027568</v>
      </c>
      <c r="V15" s="107">
        <v>38.4</v>
      </c>
      <c r="W15" s="107">
        <v>7</v>
      </c>
      <c r="X15" s="107"/>
      <c r="Y15" s="107">
        <v>5</v>
      </c>
      <c r="Z15" s="107">
        <f t="shared" ref="Z15:Z27" si="26">Z14*(1+$B$3)</f>
        <v>14.457956458013021</v>
      </c>
      <c r="AA15" s="107">
        <v>4.08</v>
      </c>
      <c r="AB15" s="107">
        <v>7.5</v>
      </c>
      <c r="AC15" s="107">
        <v>7.6</v>
      </c>
      <c r="AD15" s="107">
        <f t="shared" ref="AD15" si="27">AD14*(1+$B$3)</f>
        <v>6.1890199574652227</v>
      </c>
      <c r="AE15" s="107">
        <f t="shared" ref="AE15:AE27" si="28">AE14*(1+$B$3)</f>
        <v>4.8193188193376715</v>
      </c>
      <c r="AF15" s="107"/>
      <c r="AG15" s="107">
        <f t="shared" si="24"/>
        <v>24</v>
      </c>
      <c r="AH15" s="107">
        <f t="shared" si="11"/>
        <v>7.863099126287783</v>
      </c>
      <c r="AI15" s="107"/>
      <c r="AJ15" s="107"/>
      <c r="AK15" s="107">
        <f t="shared" si="1"/>
        <v>126.90939436110368</v>
      </c>
      <c r="AL15" s="110">
        <f t="shared" si="2"/>
        <v>46.570174049171996</v>
      </c>
      <c r="AM15" s="111">
        <f t="shared" si="5"/>
        <v>31.464386084368314</v>
      </c>
      <c r="AN15" s="88"/>
      <c r="AO15" s="81">
        <f t="shared" si="12"/>
        <v>4.1091034143826475</v>
      </c>
      <c r="AP15" s="81">
        <f t="shared" si="13"/>
        <v>2.7503999999999995</v>
      </c>
      <c r="AQ15" s="112">
        <f t="shared" si="6"/>
        <v>199.08318933369992</v>
      </c>
      <c r="AR15" s="112">
        <f t="shared" si="7"/>
        <v>185.41987501980518</v>
      </c>
      <c r="AS15" s="112">
        <f t="shared" si="25"/>
        <v>157.96644371353619</v>
      </c>
    </row>
    <row r="16" spans="1:45" x14ac:dyDescent="0.3">
      <c r="A16" s="88"/>
      <c r="B16" s="88"/>
      <c r="C16" s="88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88"/>
      <c r="J16" s="117">
        <f t="shared" si="15"/>
        <v>31.464386084368314</v>
      </c>
      <c r="K16" s="146">
        <v>0.04</v>
      </c>
      <c r="L16" s="107">
        <f t="shared" si="14"/>
        <v>69.854758044505019</v>
      </c>
      <c r="M16" s="107">
        <f t="shared" si="9"/>
        <v>95.599835556396329</v>
      </c>
      <c r="N16" s="107">
        <f t="shared" ref="N16:N53" si="29">J16*K16</f>
        <v>1.2585754433747327</v>
      </c>
      <c r="O16" s="107">
        <f t="shared" si="10"/>
        <v>6.4680331522689816</v>
      </c>
      <c r="P16" s="107"/>
      <c r="Q16" s="107"/>
      <c r="R16" s="107"/>
      <c r="S16" s="107"/>
      <c r="T16" s="107"/>
      <c r="U16" s="117">
        <f t="shared" si="0"/>
        <v>173.18120219654506</v>
      </c>
      <c r="V16" s="107">
        <v>38.4</v>
      </c>
      <c r="W16" s="107">
        <f>W15*(1+$B$3)</f>
        <v>7.1400000000000006</v>
      </c>
      <c r="X16" s="107"/>
      <c r="Y16" s="107">
        <f>Y15*(1+$B$3)</f>
        <v>5.0999999999999996</v>
      </c>
      <c r="Z16" s="107">
        <f t="shared" si="26"/>
        <v>14.747115587173282</v>
      </c>
      <c r="AA16" s="107">
        <v>4.08</v>
      </c>
      <c r="AB16" s="107">
        <v>7.8</v>
      </c>
      <c r="AC16" s="107">
        <v>7.6</v>
      </c>
      <c r="AD16" s="107">
        <f t="shared" ref="AD16" si="30">AD15*(1+$B$3)</f>
        <v>6.3128003566145274</v>
      </c>
      <c r="AE16" s="107">
        <f t="shared" si="28"/>
        <v>4.9157051957244251</v>
      </c>
      <c r="AF16" s="107"/>
      <c r="AG16" s="107">
        <f t="shared" si="24"/>
        <v>24</v>
      </c>
      <c r="AH16" s="107">
        <f t="shared" si="11"/>
        <v>8.0203611088135389</v>
      </c>
      <c r="AI16" s="107"/>
      <c r="AJ16" s="107"/>
      <c r="AK16" s="107">
        <f t="shared" si="1"/>
        <v>128.11598224832576</v>
      </c>
      <c r="AL16" s="110">
        <f t="shared" si="2"/>
        <v>45.065219948219294</v>
      </c>
      <c r="AM16" s="111">
        <f t="shared" si="5"/>
        <v>76.529606032587608</v>
      </c>
      <c r="AN16" s="88"/>
      <c r="AO16" s="81">
        <f t="shared" si="12"/>
        <v>4.1912854826703008</v>
      </c>
      <c r="AP16" s="81">
        <f t="shared" si="13"/>
        <v>2.7503999999999995</v>
      </c>
      <c r="AQ16" s="112">
        <f t="shared" si="6"/>
        <v>211.23780238971824</v>
      </c>
      <c r="AR16" s="112">
        <f t="shared" si="7"/>
        <v>195.58707002059739</v>
      </c>
      <c r="AS16" s="112">
        <f t="shared" si="25"/>
        <v>164.28510146207765</v>
      </c>
    </row>
    <row r="17" spans="1:45" x14ac:dyDescent="0.3">
      <c r="A17" s="88"/>
      <c r="B17" s="98"/>
      <c r="C17" s="88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88"/>
      <c r="J17" s="117">
        <f t="shared" si="15"/>
        <v>76.529606032587608</v>
      </c>
      <c r="K17" s="146">
        <v>0.04</v>
      </c>
      <c r="L17" s="107">
        <f t="shared" si="14"/>
        <v>71.251853205395122</v>
      </c>
      <c r="M17" s="107">
        <f t="shared" si="9"/>
        <v>96.555833911960292</v>
      </c>
      <c r="N17" s="107">
        <f t="shared" si="29"/>
        <v>3.0611842413035042</v>
      </c>
      <c r="O17" s="107">
        <f t="shared" si="10"/>
        <v>6.5973938153143612</v>
      </c>
      <c r="P17" s="107"/>
      <c r="Q17" s="107"/>
      <c r="R17" s="107"/>
      <c r="S17" s="107"/>
      <c r="T17" s="107"/>
      <c r="U17" s="117">
        <f t="shared" si="0"/>
        <v>177.46626517397326</v>
      </c>
      <c r="V17" s="107">
        <v>38.4</v>
      </c>
      <c r="W17" s="107">
        <f t="shared" si="17"/>
        <v>7.2828000000000008</v>
      </c>
      <c r="X17" s="107"/>
      <c r="Y17" s="107">
        <f>Y16*(1+$B$3)</f>
        <v>5.202</v>
      </c>
      <c r="Z17" s="107">
        <f t="shared" si="26"/>
        <v>15.042057898916747</v>
      </c>
      <c r="AA17" s="107">
        <v>4.08</v>
      </c>
      <c r="AB17" s="107">
        <v>8</v>
      </c>
      <c r="AC17" s="107">
        <v>7.6</v>
      </c>
      <c r="AD17" s="107">
        <f t="shared" ref="AD17" si="31">AD16*(1+$B$3)</f>
        <v>6.4390563637468183</v>
      </c>
      <c r="AE17" s="107">
        <f t="shared" si="28"/>
        <v>5.0140192996389139</v>
      </c>
      <c r="AF17" s="107"/>
      <c r="AG17" s="107">
        <f t="shared" si="24"/>
        <v>24</v>
      </c>
      <c r="AH17" s="107">
        <f t="shared" si="11"/>
        <v>8.1807683309898103</v>
      </c>
      <c r="AI17" s="107"/>
      <c r="AJ17" s="107"/>
      <c r="AK17" s="107">
        <f t="shared" si="1"/>
        <v>129.24070189329228</v>
      </c>
      <c r="AL17" s="110">
        <f t="shared" si="2"/>
        <v>48.225563280680973</v>
      </c>
      <c r="AM17" s="111">
        <f t="shared" si="5"/>
        <v>124.75516931326858</v>
      </c>
      <c r="AN17" s="88"/>
      <c r="AO17" s="81">
        <f t="shared" si="12"/>
        <v>4.2751111923237071</v>
      </c>
      <c r="AP17" s="81">
        <f t="shared" si="13"/>
        <v>2.7503999999999995</v>
      </c>
      <c r="AQ17" s="112">
        <f t="shared" si="6"/>
        <v>223.9624256776307</v>
      </c>
      <c r="AR17" s="112">
        <f t="shared" si="7"/>
        <v>206.16095282142132</v>
      </c>
      <c r="AS17" s="112">
        <f t="shared" si="25"/>
        <v>170.85650552056077</v>
      </c>
    </row>
    <row r="18" spans="1:45" x14ac:dyDescent="0.3">
      <c r="A18" s="88"/>
      <c r="B18" s="98"/>
      <c r="C18" s="88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88"/>
      <c r="J18" s="117">
        <f t="shared" si="15"/>
        <v>124.75516931326858</v>
      </c>
      <c r="K18" s="146">
        <v>0.04</v>
      </c>
      <c r="L18" s="107">
        <f t="shared" si="14"/>
        <v>72.676890269503019</v>
      </c>
      <c r="M18" s="107">
        <f t="shared" si="9"/>
        <v>97.521392251079902</v>
      </c>
      <c r="N18" s="107">
        <f t="shared" si="29"/>
        <v>4.9902067725307431</v>
      </c>
      <c r="O18" s="107">
        <f t="shared" si="10"/>
        <v>6.7293416916206485</v>
      </c>
      <c r="P18" s="107"/>
      <c r="Q18" s="107"/>
      <c r="R18" s="107"/>
      <c r="S18" s="107"/>
      <c r="T18" s="107"/>
      <c r="U18" s="117">
        <f t="shared" si="0"/>
        <v>181.91783098473431</v>
      </c>
      <c r="V18" s="107">
        <v>38.4</v>
      </c>
      <c r="W18" s="107">
        <f t="shared" si="17"/>
        <v>7.4284560000000006</v>
      </c>
      <c r="X18" s="107"/>
      <c r="Y18" s="107">
        <f>Y17*(1+$B$3)</f>
        <v>5.3060400000000003</v>
      </c>
      <c r="Z18" s="107">
        <f t="shared" si="26"/>
        <v>15.342899056895082</v>
      </c>
      <c r="AA18" s="107">
        <v>4.08</v>
      </c>
      <c r="AB18" s="107">
        <v>8.3000000000000007</v>
      </c>
      <c r="AC18" s="107">
        <v>7.6</v>
      </c>
      <c r="AD18" s="107">
        <f t="shared" ref="AD18" si="32">AD17*(1+$B$3)</f>
        <v>6.5678374910217547</v>
      </c>
      <c r="AE18" s="107">
        <f t="shared" si="28"/>
        <v>5.1142996856316927</v>
      </c>
      <c r="AF18" s="107"/>
      <c r="AG18" s="107">
        <f t="shared" si="24"/>
        <v>24</v>
      </c>
      <c r="AH18" s="107">
        <f t="shared" si="11"/>
        <v>8.3443836976096062</v>
      </c>
      <c r="AI18" s="107"/>
      <c r="AJ18" s="107"/>
      <c r="AK18" s="107">
        <f t="shared" si="1"/>
        <v>130.48391593115812</v>
      </c>
      <c r="AL18" s="110">
        <f t="shared" si="2"/>
        <v>51.433915053576186</v>
      </c>
      <c r="AM18" s="111">
        <f t="shared" si="5"/>
        <v>176.18908436684478</v>
      </c>
      <c r="AN18" s="88"/>
      <c r="AO18" s="81">
        <f t="shared" si="12"/>
        <v>4.3606134161701808</v>
      </c>
      <c r="AP18" s="81">
        <f t="shared" si="13"/>
        <v>2.7503999999999995</v>
      </c>
      <c r="AQ18" s="112">
        <f t="shared" si="6"/>
        <v>237.28153612090611</v>
      </c>
      <c r="AR18" s="112">
        <f t="shared" si="7"/>
        <v>217.15779093427818</v>
      </c>
      <c r="AS18" s="112">
        <f t="shared" si="25"/>
        <v>177.69076574138322</v>
      </c>
    </row>
    <row r="19" spans="1:45" x14ac:dyDescent="0.3">
      <c r="A19" s="88"/>
      <c r="B19" s="98"/>
      <c r="C19" s="88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88"/>
      <c r="J19" s="117">
        <f t="shared" si="15"/>
        <v>176.18908436684478</v>
      </c>
      <c r="K19" s="146">
        <v>0.04</v>
      </c>
      <c r="L19" s="107">
        <f t="shared" si="14"/>
        <v>74.130428074893075</v>
      </c>
      <c r="M19" s="107">
        <f t="shared" si="9"/>
        <v>98.496606173590706</v>
      </c>
      <c r="N19" s="107">
        <f t="shared" si="29"/>
        <v>7.0475633746737918</v>
      </c>
      <c r="O19" s="107">
        <f t="shared" si="10"/>
        <v>6.863928525453062</v>
      </c>
      <c r="P19" s="107"/>
      <c r="Q19" s="107"/>
      <c r="R19" s="107"/>
      <c r="S19" s="107"/>
      <c r="T19" s="107"/>
      <c r="U19" s="117">
        <f t="shared" si="0"/>
        <v>186.53852614861063</v>
      </c>
      <c r="V19" s="107"/>
      <c r="W19" s="107">
        <f t="shared" si="17"/>
        <v>7.5770251200000009</v>
      </c>
      <c r="X19" s="107"/>
      <c r="Y19" s="107">
        <f>Y18*(1+$B$3)</f>
        <v>5.4121608000000005</v>
      </c>
      <c r="Z19" s="107">
        <f t="shared" si="26"/>
        <v>15.649757038032984</v>
      </c>
      <c r="AA19" s="107">
        <v>4.08</v>
      </c>
      <c r="AB19" s="107">
        <v>8.5</v>
      </c>
      <c r="AC19" s="107">
        <v>7.6</v>
      </c>
      <c r="AD19" s="107">
        <f t="shared" ref="AD19" si="33">AD18*(1+$B$3)</f>
        <v>6.6991942408421901</v>
      </c>
      <c r="AE19" s="107">
        <f t="shared" si="28"/>
        <v>5.2165856793443268</v>
      </c>
      <c r="AF19" s="107"/>
      <c r="AG19" s="107">
        <f t="shared" si="24"/>
        <v>24</v>
      </c>
      <c r="AH19" s="107">
        <f t="shared" si="11"/>
        <v>8.5112713715617989</v>
      </c>
      <c r="AI19" s="107"/>
      <c r="AJ19" s="107"/>
      <c r="AK19" s="107">
        <f t="shared" si="1"/>
        <v>93.245994249781305</v>
      </c>
      <c r="AL19" s="110">
        <f t="shared" si="2"/>
        <v>93.292531898829324</v>
      </c>
      <c r="AM19" s="111">
        <f t="shared" si="5"/>
        <v>269.48161626567412</v>
      </c>
      <c r="AN19" s="88"/>
      <c r="AO19" s="81">
        <f t="shared" si="12"/>
        <v>4.4478256844935844</v>
      </c>
      <c r="AP19" s="81">
        <f t="shared" si="13"/>
        <v>2.7503999999999995</v>
      </c>
      <c r="AQ19" s="112">
        <f t="shared" si="6"/>
        <v>251.22062325023595</v>
      </c>
      <c r="AR19" s="112">
        <f t="shared" si="7"/>
        <v>228.59450257164934</v>
      </c>
      <c r="AS19" s="112">
        <f t="shared" si="25"/>
        <v>184.79839637103856</v>
      </c>
    </row>
    <row r="20" spans="1:45" x14ac:dyDescent="0.3">
      <c r="A20" s="88"/>
      <c r="B20" s="98"/>
      <c r="C20" s="88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88"/>
      <c r="J20" s="117">
        <f t="shared" si="15"/>
        <v>269.48161626567412</v>
      </c>
      <c r="K20" s="146">
        <v>0.04</v>
      </c>
      <c r="L20" s="107">
        <f t="shared" si="14"/>
        <v>75.613036636390945</v>
      </c>
      <c r="M20" s="107">
        <f t="shared" si="9"/>
        <v>99.48157223532661</v>
      </c>
      <c r="N20" s="107">
        <f t="shared" si="29"/>
        <v>10.779264650626965</v>
      </c>
      <c r="O20" s="107">
        <f t="shared" si="10"/>
        <v>7.0012070959621235</v>
      </c>
      <c r="P20" s="107"/>
      <c r="Q20" s="107"/>
      <c r="R20" s="107"/>
      <c r="S20" s="107"/>
      <c r="T20" s="107"/>
      <c r="U20" s="117">
        <f t="shared" si="0"/>
        <v>192.87508061830664</v>
      </c>
      <c r="V20" s="107"/>
      <c r="W20" s="107">
        <f t="shared" si="17"/>
        <v>7.7285656224000014</v>
      </c>
      <c r="X20" s="107"/>
      <c r="Y20" s="107">
        <f>Y19*(1+$B$3)</f>
        <v>5.5204040160000005</v>
      </c>
      <c r="Z20" s="107">
        <f t="shared" si="26"/>
        <v>15.962752178793645</v>
      </c>
      <c r="AA20" s="107">
        <v>4.08</v>
      </c>
      <c r="AB20" s="107">
        <v>8.8000000000000007</v>
      </c>
      <c r="AC20" s="107">
        <v>7.6</v>
      </c>
      <c r="AD20" s="107">
        <f t="shared" ref="AD20" si="34">AD19*(1+$B$3)</f>
        <v>6.8331781256590336</v>
      </c>
      <c r="AE20" s="107">
        <f t="shared" si="28"/>
        <v>5.3209173929312135</v>
      </c>
      <c r="AF20" s="107"/>
      <c r="AG20" s="107">
        <f t="shared" si="24"/>
        <v>24</v>
      </c>
      <c r="AH20" s="107">
        <f t="shared" si="11"/>
        <v>8.6814967989930345</v>
      </c>
      <c r="AI20" s="107"/>
      <c r="AJ20" s="107"/>
      <c r="AK20" s="107">
        <f t="shared" si="1"/>
        <v>94.52731413477693</v>
      </c>
      <c r="AL20" s="110">
        <f t="shared" si="2"/>
        <v>98.347766483529711</v>
      </c>
      <c r="AM20" s="111">
        <f t="shared" si="5"/>
        <v>367.82938274920383</v>
      </c>
      <c r="AN20" s="88"/>
      <c r="AO20" s="81">
        <f t="shared" si="12"/>
        <v>4.5367821981834568</v>
      </c>
      <c r="AP20" s="81">
        <f t="shared" si="13"/>
        <v>2.7503999999999995</v>
      </c>
      <c r="AQ20" s="112">
        <f t="shared" si="6"/>
        <v>265.80623037842884</v>
      </c>
      <c r="AR20" s="112">
        <f t="shared" si="7"/>
        <v>240.48868267451533</v>
      </c>
      <c r="AS20" s="112">
        <f t="shared" si="25"/>
        <v>192.19033222588013</v>
      </c>
    </row>
    <row r="21" spans="1:45" x14ac:dyDescent="0.3">
      <c r="A21" s="88"/>
      <c r="B21" s="98"/>
      <c r="C21" s="88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88"/>
      <c r="J21" s="117">
        <f t="shared" si="15"/>
        <v>367.82938274920383</v>
      </c>
      <c r="K21" s="146">
        <v>0.04</v>
      </c>
      <c r="L21" s="107">
        <f t="shared" si="14"/>
        <v>77.125297369118769</v>
      </c>
      <c r="M21" s="107">
        <f t="shared" si="9"/>
        <v>100.47638795767988</v>
      </c>
      <c r="N21" s="107">
        <f t="shared" si="29"/>
        <v>14.713175309968154</v>
      </c>
      <c r="O21" s="107">
        <f t="shared" si="10"/>
        <v>7.1412312378813665</v>
      </c>
      <c r="P21" s="107"/>
      <c r="Q21" s="107"/>
      <c r="R21" s="107"/>
      <c r="S21" s="107"/>
      <c r="T21" s="107"/>
      <c r="U21" s="117">
        <f t="shared" si="0"/>
        <v>199.45609187464817</v>
      </c>
      <c r="V21" s="107"/>
      <c r="W21" s="107">
        <v>8</v>
      </c>
      <c r="X21" s="107"/>
      <c r="Y21" s="107">
        <v>6</v>
      </c>
      <c r="Z21" s="107">
        <f t="shared" si="26"/>
        <v>16.282007222369518</v>
      </c>
      <c r="AA21" s="107">
        <v>4.08</v>
      </c>
      <c r="AB21" s="107">
        <v>9.1</v>
      </c>
      <c r="AC21" s="107">
        <v>7.6</v>
      </c>
      <c r="AD21" s="107">
        <f t="shared" ref="AD21" si="35">AD20*(1+$B$3)</f>
        <v>6.9698416881722141</v>
      </c>
      <c r="AE21" s="107">
        <f t="shared" si="28"/>
        <v>5.4273357407898377</v>
      </c>
      <c r="AF21" s="107"/>
      <c r="AG21" s="107">
        <f t="shared" si="24"/>
        <v>24</v>
      </c>
      <c r="AH21" s="107">
        <f t="shared" si="11"/>
        <v>8.8551267349728953</v>
      </c>
      <c r="AI21" s="107"/>
      <c r="AJ21" s="107"/>
      <c r="AK21" s="107">
        <f t="shared" si="1"/>
        <v>96.314311386304482</v>
      </c>
      <c r="AL21" s="110">
        <f t="shared" si="2"/>
        <v>103.14178048834368</v>
      </c>
      <c r="AM21" s="111">
        <f t="shared" si="5"/>
        <v>470.9711632375475</v>
      </c>
      <c r="AN21" s="88"/>
      <c r="AO21" s="81">
        <f t="shared" si="12"/>
        <v>4.6275178421471264</v>
      </c>
      <c r="AP21" s="81">
        <f t="shared" si="13"/>
        <v>2.7503999999999995</v>
      </c>
      <c r="AQ21" s="112">
        <f t="shared" si="6"/>
        <v>281.06599743571314</v>
      </c>
      <c r="AR21" s="112">
        <f t="shared" si="7"/>
        <v>252.85862998149597</v>
      </c>
      <c r="AS21" s="112">
        <f t="shared" si="25"/>
        <v>199.87794551491533</v>
      </c>
    </row>
    <row r="22" spans="1:45" x14ac:dyDescent="0.3">
      <c r="A22" s="88"/>
      <c r="B22" s="98"/>
      <c r="C22" s="88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J22" s="117">
        <f t="shared" si="15"/>
        <v>470.9711632375475</v>
      </c>
      <c r="K22" s="146">
        <v>0.04</v>
      </c>
      <c r="L22" s="107">
        <f t="shared" si="14"/>
        <v>78.66780331650115</v>
      </c>
      <c r="M22" s="107">
        <f t="shared" si="9"/>
        <v>101.48115183725668</v>
      </c>
      <c r="N22" s="107">
        <f t="shared" si="29"/>
        <v>18.8388465295019</v>
      </c>
      <c r="O22" s="107">
        <f t="shared" si="10"/>
        <v>7.2840558626389935</v>
      </c>
      <c r="P22" s="107"/>
      <c r="Q22" s="107"/>
      <c r="R22" s="107"/>
      <c r="S22" s="107"/>
      <c r="T22" s="107"/>
      <c r="U22" s="117">
        <f t="shared" si="0"/>
        <v>206.27185754589868</v>
      </c>
      <c r="V22" s="107"/>
      <c r="W22" s="107">
        <f>W21*(1+$B$3)</f>
        <v>8.16</v>
      </c>
      <c r="X22" s="107"/>
      <c r="Y22" s="107">
        <f>Y21*(1+$B$3)</f>
        <v>6.12</v>
      </c>
      <c r="Z22" s="107">
        <f t="shared" si="26"/>
        <v>16.607647366816909</v>
      </c>
      <c r="AA22" s="107">
        <v>4.08</v>
      </c>
      <c r="AB22" s="107">
        <v>9.4</v>
      </c>
      <c r="AC22" s="107">
        <v>7.6</v>
      </c>
      <c r="AD22" s="107">
        <f t="shared" ref="AD22" si="36">AD21*(1+$B$3)</f>
        <v>7.1092385219356586</v>
      </c>
      <c r="AE22" s="107">
        <f t="shared" si="28"/>
        <v>5.535882455605635</v>
      </c>
      <c r="AF22" s="107"/>
      <c r="AG22" s="107">
        <f t="shared" si="24"/>
        <v>24</v>
      </c>
      <c r="AH22" s="107">
        <f t="shared" si="11"/>
        <v>9.032229269672353</v>
      </c>
      <c r="AI22" s="107"/>
      <c r="AJ22" s="107"/>
      <c r="AK22" s="107">
        <f t="shared" si="1"/>
        <v>97.644997614030558</v>
      </c>
      <c r="AL22" s="110">
        <f t="shared" si="2"/>
        <v>108.62685993186813</v>
      </c>
      <c r="AM22" s="111">
        <f t="shared" si="5"/>
        <v>579.59802316941568</v>
      </c>
      <c r="AN22" s="88"/>
      <c r="AO22" s="81">
        <f t="shared" si="12"/>
        <v>4.7200681989900692</v>
      </c>
      <c r="AP22" s="81">
        <f t="shared" si="13"/>
        <v>2.7503999999999995</v>
      </c>
      <c r="AQ22" s="112">
        <f t="shared" si="6"/>
        <v>297.02870553213177</v>
      </c>
      <c r="AR22" s="112">
        <f t="shared" si="7"/>
        <v>265.72337518075585</v>
      </c>
      <c r="AS22" s="112">
        <f t="shared" si="25"/>
        <v>207.87306333551194</v>
      </c>
    </row>
    <row r="23" spans="1:45" ht="14.5" x14ac:dyDescent="0.3">
      <c r="A23" s="88"/>
      <c r="B23" s="98"/>
      <c r="C23" s="88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88" t="s">
        <v>344</v>
      </c>
      <c r="J23" s="117">
        <f t="shared" si="15"/>
        <v>579.59802316941568</v>
      </c>
      <c r="K23" s="146">
        <v>0.04</v>
      </c>
      <c r="L23" s="107">
        <f t="shared" si="14"/>
        <v>80.241159382831171</v>
      </c>
      <c r="M23" s="107">
        <f t="shared" si="9"/>
        <v>102.49596335562924</v>
      </c>
      <c r="N23" s="107">
        <f t="shared" si="29"/>
        <v>23.183920926776629</v>
      </c>
      <c r="O23" s="107">
        <f t="shared" si="10"/>
        <v>7.4297369798917732</v>
      </c>
      <c r="P23" s="107"/>
      <c r="Q23" s="107"/>
      <c r="R23" s="107"/>
      <c r="S23" s="107"/>
      <c r="T23" s="107"/>
      <c r="U23" s="117">
        <f t="shared" si="0"/>
        <v>213.35078064512882</v>
      </c>
      <c r="V23" s="107"/>
      <c r="W23" s="107">
        <f t="shared" si="17"/>
        <v>8.3231999999999999</v>
      </c>
      <c r="X23" s="107"/>
      <c r="Y23" s="107">
        <f>Y22*(1+$B$3)</f>
        <v>6.2423999999999999</v>
      </c>
      <c r="Z23" s="107">
        <f t="shared" si="26"/>
        <v>16.939800314153249</v>
      </c>
      <c r="AA23" s="107">
        <v>4.08</v>
      </c>
      <c r="AB23" s="107">
        <v>9.6999999999999993</v>
      </c>
      <c r="AC23" s="107">
        <v>7.6</v>
      </c>
      <c r="AD23" s="107">
        <f t="shared" ref="AD23" si="37">AD22*(1+$B$3)</f>
        <v>7.2514232923743718</v>
      </c>
      <c r="AE23" s="107">
        <f t="shared" si="28"/>
        <v>5.6466001047177476</v>
      </c>
      <c r="AF23" s="107"/>
      <c r="AG23" s="107">
        <f t="shared" si="24"/>
        <v>24</v>
      </c>
      <c r="AH23" s="107">
        <f t="shared" si="11"/>
        <v>9.2128738550657996</v>
      </c>
      <c r="AI23" s="107"/>
      <c r="AJ23" s="107">
        <f>理財目標費用終值!D14</f>
        <v>104.0163177184848</v>
      </c>
      <c r="AK23" s="107">
        <f t="shared" si="1"/>
        <v>203.01261528479597</v>
      </c>
      <c r="AL23" s="110">
        <f t="shared" si="2"/>
        <v>10.338165360332852</v>
      </c>
      <c r="AM23" s="111">
        <f t="shared" si="5"/>
        <v>589.93618852974851</v>
      </c>
      <c r="AN23" s="88"/>
      <c r="AO23" s="81">
        <f t="shared" si="12"/>
        <v>4.8144695629698697</v>
      </c>
      <c r="AP23" s="81">
        <f t="shared" si="13"/>
        <v>2.7503999999999995</v>
      </c>
      <c r="AQ23" s="112">
        <f t="shared" si="6"/>
        <v>313.72432331638691</v>
      </c>
      <c r="AR23" s="112">
        <f t="shared" si="7"/>
        <v>279.10271018798613</v>
      </c>
      <c r="AS23" s="112">
        <f t="shared" si="25"/>
        <v>216.18798586893243</v>
      </c>
    </row>
    <row r="24" spans="1:45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J24" s="117">
        <f t="shared" si="15"/>
        <v>589.93618852974851</v>
      </c>
      <c r="K24" s="146">
        <v>0.04</v>
      </c>
      <c r="L24" s="107">
        <f t="shared" si="14"/>
        <v>81.845982570487791</v>
      </c>
      <c r="M24" s="107">
        <f t="shared" si="9"/>
        <v>103.52092298918554</v>
      </c>
      <c r="N24" s="107">
        <f t="shared" si="29"/>
        <v>23.59744754118994</v>
      </c>
      <c r="O24" s="107">
        <f t="shared" si="10"/>
        <v>7.5783317194896087</v>
      </c>
      <c r="P24" s="107"/>
      <c r="Q24" s="107"/>
      <c r="R24" s="107"/>
      <c r="S24" s="112"/>
      <c r="T24" s="112"/>
      <c r="U24" s="117">
        <f t="shared" si="0"/>
        <v>216.54268482035289</v>
      </c>
      <c r="V24" s="112"/>
      <c r="W24" s="107">
        <f t="shared" si="17"/>
        <v>8.4896639999999994</v>
      </c>
      <c r="X24" s="112"/>
      <c r="Y24" s="107">
        <f>Y23*(1+$B$3)</f>
        <v>6.367248</v>
      </c>
      <c r="Z24" s="107">
        <f t="shared" si="26"/>
        <v>17.278596320436314</v>
      </c>
      <c r="AA24" s="107">
        <v>4.08</v>
      </c>
      <c r="AB24" s="107">
        <v>10</v>
      </c>
      <c r="AC24" s="107">
        <v>6.4</v>
      </c>
      <c r="AD24" s="107">
        <f t="shared" ref="AD24" si="38">AD23*(1+$B$3)</f>
        <v>7.3964517582218594</v>
      </c>
      <c r="AE24" s="107">
        <f t="shared" si="28"/>
        <v>5.7595321068121024</v>
      </c>
      <c r="AF24" s="112"/>
      <c r="AG24" s="107"/>
      <c r="AH24" s="112"/>
      <c r="AI24" s="112"/>
      <c r="AJ24" s="112"/>
      <c r="AK24" s="107">
        <f t="shared" si="1"/>
        <v>65.771492185470265</v>
      </c>
      <c r="AL24" s="110">
        <f t="shared" si="2"/>
        <v>150.77119263488262</v>
      </c>
      <c r="AM24" s="111">
        <f t="shared" si="5"/>
        <v>740.7073811646311</v>
      </c>
      <c r="AO24" s="81">
        <f t="shared" si="12"/>
        <v>4.9107589542292676</v>
      </c>
      <c r="AP24" s="81">
        <f t="shared" si="13"/>
        <v>2.7503999999999995</v>
      </c>
      <c r="AQ24" s="112">
        <f t="shared" si="6"/>
        <v>331.18405520327167</v>
      </c>
      <c r="AR24" s="112">
        <f t="shared" si="7"/>
        <v>293.0172185955056</v>
      </c>
      <c r="AS24" s="112">
        <f t="shared" si="25"/>
        <v>224.83550530368973</v>
      </c>
    </row>
    <row r="25" spans="1:45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J25" s="117">
        <f t="shared" si="15"/>
        <v>740.7073811646311</v>
      </c>
      <c r="K25" s="146">
        <v>0.04</v>
      </c>
      <c r="L25" s="107">
        <f t="shared" si="14"/>
        <v>83.482902221897547</v>
      </c>
      <c r="M25" s="107">
        <f t="shared" si="9"/>
        <v>104.5561322190774</v>
      </c>
      <c r="N25" s="107">
        <f t="shared" si="29"/>
        <v>29.628295246585246</v>
      </c>
      <c r="O25" s="107">
        <f t="shared" si="10"/>
        <v>7.7298983538794008</v>
      </c>
      <c r="P25" s="107"/>
      <c r="Q25" s="107"/>
      <c r="R25" s="107"/>
      <c r="S25" s="112"/>
      <c r="T25" s="112"/>
      <c r="U25" s="117">
        <f t="shared" si="0"/>
        <v>225.3972280414396</v>
      </c>
      <c r="V25" s="112"/>
      <c r="W25" s="107">
        <f t="shared" si="17"/>
        <v>8.6594572799999998</v>
      </c>
      <c r="X25" s="112"/>
      <c r="Y25" s="107">
        <f>Y24*(1+$B$3)</f>
        <v>6.4945929600000003</v>
      </c>
      <c r="Z25" s="107">
        <f t="shared" si="26"/>
        <v>17.624168246845041</v>
      </c>
      <c r="AA25" s="107">
        <v>4.08</v>
      </c>
      <c r="AB25" s="107">
        <v>10.3</v>
      </c>
      <c r="AC25" s="107">
        <v>6.4</v>
      </c>
      <c r="AD25" s="107">
        <f t="shared" ref="AD25" si="39">AD24*(1+$B$3)</f>
        <v>7.5443807933862965</v>
      </c>
      <c r="AE25" s="107">
        <f t="shared" si="28"/>
        <v>5.8747227489483445</v>
      </c>
      <c r="AF25" s="112"/>
      <c r="AG25" s="112"/>
      <c r="AH25" s="112"/>
      <c r="AI25" s="112"/>
      <c r="AJ25" s="112"/>
      <c r="AK25" s="107">
        <f t="shared" si="1"/>
        <v>66.977322029179689</v>
      </c>
      <c r="AL25" s="110">
        <f t="shared" si="2"/>
        <v>158.4199060122599</v>
      </c>
      <c r="AM25" s="111">
        <f t="shared" si="5"/>
        <v>899.12728717689106</v>
      </c>
      <c r="AO25" s="81">
        <f t="shared" si="12"/>
        <v>5.0089741333138527</v>
      </c>
      <c r="AP25" s="81">
        <f t="shared" si="13"/>
        <v>2.7503999999999995</v>
      </c>
      <c r="AQ25" s="112">
        <f t="shared" si="6"/>
        <v>349.44039154471642</v>
      </c>
      <c r="AR25" s="112">
        <f t="shared" si="7"/>
        <v>307.48830733932584</v>
      </c>
      <c r="AS25" s="112">
        <f t="shared" si="25"/>
        <v>233.82892551583731</v>
      </c>
    </row>
    <row r="26" spans="1:45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J26" s="117">
        <f t="shared" si="15"/>
        <v>899.12728717689106</v>
      </c>
      <c r="K26" s="146">
        <v>0.04</v>
      </c>
      <c r="L26" s="107">
        <f t="shared" si="14"/>
        <v>85.152560266335499</v>
      </c>
      <c r="M26" s="107">
        <f t="shared" si="9"/>
        <v>105.60169354126818</v>
      </c>
      <c r="N26" s="107">
        <f t="shared" si="29"/>
        <v>35.965091487075647</v>
      </c>
      <c r="O26" s="107">
        <f t="shared" si="10"/>
        <v>7.8844963209569894</v>
      </c>
      <c r="P26" s="107"/>
      <c r="Q26" s="107"/>
      <c r="R26" s="107"/>
      <c r="S26" s="112"/>
      <c r="T26" s="112"/>
      <c r="U26" s="117">
        <f t="shared" si="0"/>
        <v>234.60384161563633</v>
      </c>
      <c r="V26" s="112"/>
      <c r="W26" s="107">
        <f t="shared" si="17"/>
        <v>8.8326464256000001</v>
      </c>
      <c r="X26" s="112"/>
      <c r="Y26" s="107">
        <f>Y25*(1+$B$3)</f>
        <v>6.6244848192000001</v>
      </c>
      <c r="Z26" s="107">
        <f t="shared" si="26"/>
        <v>17.976651611781943</v>
      </c>
      <c r="AA26" s="107">
        <v>4.08</v>
      </c>
      <c r="AB26" s="107">
        <v>10.6</v>
      </c>
      <c r="AC26" s="107">
        <v>6.4</v>
      </c>
      <c r="AD26" s="107">
        <f t="shared" ref="AD26" si="40">AD25*(1+$B$3)</f>
        <v>7.6952684092540222</v>
      </c>
      <c r="AE26" s="107">
        <f t="shared" si="28"/>
        <v>5.9922172039273116</v>
      </c>
      <c r="AF26" s="112"/>
      <c r="AG26" s="112"/>
      <c r="AH26" s="112"/>
      <c r="AI26" s="112"/>
      <c r="AJ26" s="112"/>
      <c r="AK26" s="107">
        <f t="shared" si="1"/>
        <v>68.201268469763278</v>
      </c>
      <c r="AL26" s="110">
        <f t="shared" si="2"/>
        <v>166.40257314587305</v>
      </c>
      <c r="AM26" s="111">
        <f t="shared" si="5"/>
        <v>1065.5298603227641</v>
      </c>
      <c r="AO26" s="81">
        <f t="shared" si="12"/>
        <v>5.1091536159801301</v>
      </c>
      <c r="AP26" s="81">
        <f t="shared" si="13"/>
        <v>2.7503999999999995</v>
      </c>
      <c r="AQ26" s="112">
        <f t="shared" si="6"/>
        <v>368.5271608224852</v>
      </c>
      <c r="AR26" s="112">
        <f t="shared" si="7"/>
        <v>322.53823963289892</v>
      </c>
      <c r="AS26" s="112">
        <f t="shared" si="25"/>
        <v>243.1820825364708</v>
      </c>
    </row>
    <row r="27" spans="1:45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J27" s="117">
        <f t="shared" si="15"/>
        <v>1065.5298603227641</v>
      </c>
      <c r="K27" s="146">
        <v>0.04</v>
      </c>
      <c r="L27" s="107">
        <f t="shared" si="14"/>
        <v>86.855611471662215</v>
      </c>
      <c r="M27" s="107">
        <f t="shared" si="9"/>
        <v>106.65771047668086</v>
      </c>
      <c r="N27" s="107">
        <f t="shared" si="29"/>
        <v>42.621194412910562</v>
      </c>
      <c r="O27" s="107">
        <f t="shared" si="10"/>
        <v>8.0421862473761294</v>
      </c>
      <c r="P27" s="107"/>
      <c r="Q27" s="107"/>
      <c r="R27" s="107"/>
      <c r="S27" s="112"/>
      <c r="T27" s="112"/>
      <c r="U27" s="117">
        <f t="shared" si="0"/>
        <v>244.17670260862977</v>
      </c>
      <c r="V27" s="112"/>
      <c r="W27" s="107">
        <v>9</v>
      </c>
      <c r="X27" s="112"/>
      <c r="Y27" s="107">
        <v>7</v>
      </c>
      <c r="Z27" s="107">
        <f t="shared" si="26"/>
        <v>18.336184644017582</v>
      </c>
      <c r="AA27" s="107">
        <v>4.08</v>
      </c>
      <c r="AB27" s="107">
        <v>10.9</v>
      </c>
      <c r="AC27" s="107">
        <v>6.4</v>
      </c>
      <c r="AD27" s="107">
        <f t="shared" ref="AD27" si="41">AD26*(1+$B$3)</f>
        <v>7.8491737774391028</v>
      </c>
      <c r="AE27" s="107">
        <f t="shared" si="28"/>
        <v>6.1120615480058582</v>
      </c>
      <c r="AF27" s="112"/>
      <c r="AG27" s="112"/>
      <c r="AH27" s="112"/>
      <c r="AI27" s="112"/>
      <c r="AJ27" s="112"/>
      <c r="AK27" s="107">
        <f t="shared" si="1"/>
        <v>69.677419969462534</v>
      </c>
      <c r="AL27" s="110">
        <f t="shared" si="2"/>
        <v>174.49928263916723</v>
      </c>
      <c r="AM27" s="111">
        <f t="shared" si="5"/>
        <v>1240.0291429619313</v>
      </c>
      <c r="AO27" s="82">
        <f t="shared" si="12"/>
        <v>5.211336688299733</v>
      </c>
      <c r="AP27" s="82">
        <f t="shared" si="13"/>
        <v>2.7503999999999995</v>
      </c>
      <c r="AQ27" s="113">
        <f t="shared" si="6"/>
        <v>388.47958394368436</v>
      </c>
      <c r="AR27" s="113">
        <f t="shared" si="7"/>
        <v>338.19016921821492</v>
      </c>
      <c r="AS27" s="113">
        <f t="shared" si="25"/>
        <v>252.90936583792964</v>
      </c>
    </row>
    <row r="28" spans="1:45" ht="14.5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s="9" t="s">
        <v>345</v>
      </c>
      <c r="J28" s="117">
        <f t="shared" si="15"/>
        <v>1240.0291429619313</v>
      </c>
      <c r="K28" s="146">
        <v>0.02</v>
      </c>
      <c r="L28" s="112"/>
      <c r="M28" s="112"/>
      <c r="N28" s="107">
        <f t="shared" si="29"/>
        <v>24.800582859238627</v>
      </c>
      <c r="O28" s="107">
        <f t="shared" si="10"/>
        <v>8.2030299723236517</v>
      </c>
      <c r="P28" s="112">
        <f>個案背景設定!E3</f>
        <v>34.927080000000004</v>
      </c>
      <c r="Q28" s="107">
        <f>個案背景設定!E4</f>
        <v>29.131319999999995</v>
      </c>
      <c r="R28" s="107">
        <f>PMT(0.01/12,20*12,-AQ27,,1)*12</f>
        <v>21.421294804000734</v>
      </c>
      <c r="S28" s="107">
        <f>PMT(0.01/12,20*12,-AR27,,1)*12</f>
        <v>18.648267795942825</v>
      </c>
      <c r="T28" s="107">
        <f>AS27</f>
        <v>252.90936583792964</v>
      </c>
      <c r="U28" s="117">
        <f t="shared" si="0"/>
        <v>390.04094126943551</v>
      </c>
      <c r="V28" s="112"/>
      <c r="W28" s="107"/>
      <c r="X28" s="112"/>
      <c r="Y28" s="107"/>
      <c r="Z28" s="107"/>
      <c r="AA28" s="107"/>
      <c r="AB28" s="112"/>
      <c r="AC28" s="107">
        <v>4.2</v>
      </c>
      <c r="AD28" s="112"/>
      <c r="AE28" s="112"/>
      <c r="AF28" s="112"/>
      <c r="AG28" s="112"/>
      <c r="AH28" s="112"/>
      <c r="AI28" s="107">
        <f>理財目標費用終值!D18*12</f>
        <v>118.12363160146052</v>
      </c>
      <c r="AJ28" s="112"/>
      <c r="AK28" s="107">
        <f t="shared" si="1"/>
        <v>122.32363160146052</v>
      </c>
      <c r="AL28" s="110">
        <f t="shared" si="2"/>
        <v>267.71730966797497</v>
      </c>
      <c r="AM28" s="111">
        <f t="shared" si="5"/>
        <v>1507.7464526299063</v>
      </c>
    </row>
    <row r="29" spans="1:45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J29" s="117">
        <f t="shared" si="15"/>
        <v>1507.7464526299063</v>
      </c>
      <c r="K29" s="146">
        <v>0.02</v>
      </c>
      <c r="L29" s="112"/>
      <c r="M29" s="112"/>
      <c r="N29" s="107">
        <f t="shared" si="29"/>
        <v>30.154929052598128</v>
      </c>
      <c r="O29" s="107">
        <f t="shared" si="10"/>
        <v>8.3670905717701256</v>
      </c>
      <c r="P29" s="112">
        <f>P28*(1+$B$3)</f>
        <v>35.625621600000002</v>
      </c>
      <c r="Q29" s="112">
        <f>Q28*(1+$B$3)</f>
        <v>29.713946399999994</v>
      </c>
      <c r="R29" s="107">
        <f>R28</f>
        <v>21.421294804000734</v>
      </c>
      <c r="S29" s="112">
        <f>S28</f>
        <v>18.648267795942825</v>
      </c>
      <c r="T29" s="112"/>
      <c r="U29" s="117">
        <f t="shared" si="0"/>
        <v>143.93115022431181</v>
      </c>
      <c r="V29" s="112"/>
      <c r="W29" s="107"/>
      <c r="X29" s="112"/>
      <c r="Y29" s="107"/>
      <c r="Z29" s="112"/>
      <c r="AA29" s="112"/>
      <c r="AB29" s="112"/>
      <c r="AC29" s="107">
        <v>4.2</v>
      </c>
      <c r="AD29" s="112"/>
      <c r="AE29" s="112"/>
      <c r="AF29" s="112"/>
      <c r="AG29" s="112"/>
      <c r="AH29" s="112"/>
      <c r="AI29" s="107">
        <f>AI28*(1+$B$3)</f>
        <v>120.48610423348973</v>
      </c>
      <c r="AJ29" s="112"/>
      <c r="AK29" s="107">
        <f t="shared" si="1"/>
        <v>124.68610423348973</v>
      </c>
      <c r="AL29" s="110">
        <f t="shared" si="2"/>
        <v>19.245045990822078</v>
      </c>
      <c r="AM29" s="111">
        <f t="shared" si="5"/>
        <v>1526.9914986207284</v>
      </c>
    </row>
    <row r="30" spans="1:45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J30" s="117">
        <f t="shared" si="15"/>
        <v>1526.9914986207284</v>
      </c>
      <c r="K30" s="146">
        <v>0.02</v>
      </c>
      <c r="L30" s="112"/>
      <c r="M30" s="112"/>
      <c r="N30" s="107">
        <f t="shared" si="29"/>
        <v>30.539829972414569</v>
      </c>
      <c r="O30" s="107">
        <f t="shared" si="10"/>
        <v>8.5344323832055284</v>
      </c>
      <c r="P30" s="112">
        <f t="shared" si="10"/>
        <v>36.338134032000006</v>
      </c>
      <c r="Q30" s="112">
        <f t="shared" si="10"/>
        <v>30.308225327999995</v>
      </c>
      <c r="R30" s="107">
        <f t="shared" ref="R30:R47" si="42">R29</f>
        <v>21.421294804000734</v>
      </c>
      <c r="S30" s="112">
        <f t="shared" ref="S30:S47" si="43">S29</f>
        <v>18.648267795942825</v>
      </c>
      <c r="T30" s="112"/>
      <c r="U30" s="117">
        <f t="shared" si="0"/>
        <v>145.79018431556366</v>
      </c>
      <c r="V30" s="112"/>
      <c r="W30" s="107"/>
      <c r="X30" s="112"/>
      <c r="Y30" s="107"/>
      <c r="Z30" s="112"/>
      <c r="AA30" s="112"/>
      <c r="AB30" s="112"/>
      <c r="AC30" s="107">
        <v>4.2</v>
      </c>
      <c r="AD30" s="112"/>
      <c r="AE30" s="112"/>
      <c r="AF30" s="112"/>
      <c r="AG30" s="112"/>
      <c r="AH30" s="112"/>
      <c r="AI30" s="107">
        <f>AI29*(1+$B$3)</f>
        <v>122.89582631815952</v>
      </c>
      <c r="AJ30" s="112"/>
      <c r="AK30" s="107">
        <f t="shared" si="1"/>
        <v>127.09582631815952</v>
      </c>
      <c r="AL30" s="110">
        <f t="shared" si="2"/>
        <v>18.69435799740414</v>
      </c>
      <c r="AM30" s="111">
        <f t="shared" si="5"/>
        <v>1545.6858566181324</v>
      </c>
    </row>
    <row r="31" spans="1:45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J31" s="117">
        <f t="shared" si="15"/>
        <v>1545.6858566181324</v>
      </c>
      <c r="K31" s="146">
        <v>0.02</v>
      </c>
      <c r="L31" s="112"/>
      <c r="M31" s="112"/>
      <c r="N31" s="107">
        <f t="shared" si="29"/>
        <v>30.913717132362649</v>
      </c>
      <c r="O31" s="107">
        <f t="shared" si="10"/>
        <v>8.7051210308696394</v>
      </c>
      <c r="P31" s="112">
        <f t="shared" si="10"/>
        <v>37.064896712640007</v>
      </c>
      <c r="Q31" s="112">
        <f t="shared" si="10"/>
        <v>30.914389834559994</v>
      </c>
      <c r="R31" s="107">
        <f t="shared" si="42"/>
        <v>21.421294804000734</v>
      </c>
      <c r="S31" s="112">
        <f t="shared" si="43"/>
        <v>18.648267795942825</v>
      </c>
      <c r="T31" s="112"/>
      <c r="U31" s="117">
        <f t="shared" si="0"/>
        <v>147.66768731037584</v>
      </c>
      <c r="V31" s="112"/>
      <c r="W31" s="107"/>
      <c r="X31" s="112"/>
      <c r="Y31" s="107"/>
      <c r="Z31" s="112"/>
      <c r="AA31" s="112"/>
      <c r="AB31" s="112"/>
      <c r="AC31" s="107">
        <v>4.2</v>
      </c>
      <c r="AD31" s="112"/>
      <c r="AE31" s="112"/>
      <c r="AF31" s="112"/>
      <c r="AG31" s="112"/>
      <c r="AH31" s="112"/>
      <c r="AI31" s="107">
        <f t="shared" ref="AI31:AI53" si="44">AI30*(1+$B$3)</f>
        <v>125.35374284452271</v>
      </c>
      <c r="AJ31" s="112"/>
      <c r="AK31" s="107">
        <f t="shared" si="1"/>
        <v>129.5537428445227</v>
      </c>
      <c r="AL31" s="110">
        <f t="shared" si="2"/>
        <v>18.113944465853137</v>
      </c>
      <c r="AM31" s="111">
        <f t="shared" si="5"/>
        <v>1563.7998010839856</v>
      </c>
    </row>
    <row r="32" spans="1:45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J32" s="117">
        <f t="shared" si="15"/>
        <v>1563.7998010839856</v>
      </c>
      <c r="K32" s="146">
        <v>0.02</v>
      </c>
      <c r="L32" s="112"/>
      <c r="M32" s="112"/>
      <c r="N32" s="107">
        <f t="shared" si="29"/>
        <v>31.275996021679713</v>
      </c>
      <c r="O32" s="107">
        <f t="shared" si="10"/>
        <v>8.8792234514870323</v>
      </c>
      <c r="P32" s="112">
        <f t="shared" si="10"/>
        <v>37.806194646892806</v>
      </c>
      <c r="Q32" s="112">
        <f t="shared" si="10"/>
        <v>31.532677631251193</v>
      </c>
      <c r="R32" s="107">
        <f t="shared" si="42"/>
        <v>21.421294804000734</v>
      </c>
      <c r="S32" s="112">
        <f t="shared" si="43"/>
        <v>18.648267795942825</v>
      </c>
      <c r="T32" s="112"/>
      <c r="U32" s="117">
        <f t="shared" si="0"/>
        <v>149.56365435125429</v>
      </c>
      <c r="V32" s="112"/>
      <c r="W32" s="107"/>
      <c r="X32" s="112"/>
      <c r="Y32" s="107"/>
      <c r="Z32" s="112"/>
      <c r="AA32" s="112"/>
      <c r="AB32" s="112"/>
      <c r="AC32" s="107">
        <v>4.2</v>
      </c>
      <c r="AD32" s="112"/>
      <c r="AE32" s="112"/>
      <c r="AF32" s="112"/>
      <c r="AG32" s="112"/>
      <c r="AH32" s="112"/>
      <c r="AI32" s="107">
        <f t="shared" si="44"/>
        <v>127.86081770141317</v>
      </c>
      <c r="AJ32" s="112"/>
      <c r="AK32" s="107">
        <f t="shared" si="1"/>
        <v>132.06081770141316</v>
      </c>
      <c r="AL32" s="110">
        <f t="shared" si="2"/>
        <v>17.502836649841129</v>
      </c>
      <c r="AM32" s="111">
        <f t="shared" si="5"/>
        <v>1581.3026377338267</v>
      </c>
    </row>
    <row r="33" spans="4:39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J33" s="117">
        <f t="shared" si="15"/>
        <v>1581.3026377338267</v>
      </c>
      <c r="K33" s="146">
        <v>0.02</v>
      </c>
      <c r="L33" s="112"/>
      <c r="M33" s="112"/>
      <c r="N33" s="107">
        <f t="shared" si="29"/>
        <v>31.626052754676536</v>
      </c>
      <c r="O33" s="107">
        <f t="shared" si="10"/>
        <v>9.0568079205167731</v>
      </c>
      <c r="P33" s="112">
        <f t="shared" si="10"/>
        <v>38.562318539830663</v>
      </c>
      <c r="Q33" s="112">
        <f t="shared" si="10"/>
        <v>32.163331183876217</v>
      </c>
      <c r="R33" s="107">
        <f t="shared" si="42"/>
        <v>21.421294804000734</v>
      </c>
      <c r="S33" s="112">
        <f t="shared" si="43"/>
        <v>18.648267795942825</v>
      </c>
      <c r="T33" s="112"/>
      <c r="U33" s="117">
        <f t="shared" si="0"/>
        <v>151.47807299884371</v>
      </c>
      <c r="V33" s="112"/>
      <c r="W33" s="107"/>
      <c r="X33" s="112"/>
      <c r="Y33" s="107"/>
      <c r="Z33" s="112"/>
      <c r="AA33" s="112"/>
      <c r="AB33" s="112"/>
      <c r="AC33" s="107">
        <v>4.2</v>
      </c>
      <c r="AD33" s="112"/>
      <c r="AE33" s="112"/>
      <c r="AF33" s="112"/>
      <c r="AG33" s="112"/>
      <c r="AH33" s="112"/>
      <c r="AI33" s="107">
        <f t="shared" si="44"/>
        <v>130.41803405544144</v>
      </c>
      <c r="AJ33" s="112"/>
      <c r="AK33" s="107">
        <f t="shared" si="1"/>
        <v>134.61803405544143</v>
      </c>
      <c r="AL33" s="110">
        <f t="shared" si="2"/>
        <v>16.860038943402287</v>
      </c>
      <c r="AM33" s="111">
        <f t="shared" si="5"/>
        <v>1598.162676677229</v>
      </c>
    </row>
    <row r="34" spans="4:39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J34" s="117">
        <f t="shared" si="15"/>
        <v>1598.162676677229</v>
      </c>
      <c r="K34" s="146">
        <v>0.02</v>
      </c>
      <c r="L34" s="112"/>
      <c r="M34" s="112"/>
      <c r="N34" s="107">
        <f t="shared" si="29"/>
        <v>31.963253533544581</v>
      </c>
      <c r="O34" s="107">
        <f t="shared" si="10"/>
        <v>9.237944078927109</v>
      </c>
      <c r="P34" s="112">
        <f t="shared" si="10"/>
        <v>39.333564910627274</v>
      </c>
      <c r="Q34" s="112">
        <f t="shared" si="10"/>
        <v>32.806597807553743</v>
      </c>
      <c r="R34" s="107">
        <f t="shared" si="42"/>
        <v>21.421294804000734</v>
      </c>
      <c r="S34" s="112">
        <f t="shared" si="43"/>
        <v>18.648267795942825</v>
      </c>
      <c r="T34" s="112"/>
      <c r="U34" s="117">
        <f t="shared" si="0"/>
        <v>153.41092293059626</v>
      </c>
      <c r="V34" s="112"/>
      <c r="W34" s="107"/>
      <c r="X34" s="112"/>
      <c r="Y34" s="107"/>
      <c r="Z34" s="112"/>
      <c r="AA34" s="112"/>
      <c r="AB34" s="112"/>
      <c r="AC34" s="107">
        <v>4.2</v>
      </c>
      <c r="AD34" s="112"/>
      <c r="AE34" s="112"/>
      <c r="AF34" s="112"/>
      <c r="AG34" s="112"/>
      <c r="AH34" s="112"/>
      <c r="AI34" s="107">
        <f t="shared" si="44"/>
        <v>133.02639473655026</v>
      </c>
      <c r="AJ34" s="112"/>
      <c r="AK34" s="107">
        <f t="shared" si="1"/>
        <v>137.22639473655025</v>
      </c>
      <c r="AL34" s="110">
        <f t="shared" si="2"/>
        <v>16.18452819404601</v>
      </c>
      <c r="AM34" s="111">
        <f t="shared" si="5"/>
        <v>1614.3472048712749</v>
      </c>
    </row>
    <row r="35" spans="4:39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J35" s="117">
        <f t="shared" si="15"/>
        <v>1614.3472048712749</v>
      </c>
      <c r="K35" s="146">
        <v>0.02</v>
      </c>
      <c r="L35" s="112"/>
      <c r="M35" s="112"/>
      <c r="N35" s="107">
        <f t="shared" si="29"/>
        <v>32.286944097425497</v>
      </c>
      <c r="O35" s="107">
        <f t="shared" si="10"/>
        <v>9.4227029605056511</v>
      </c>
      <c r="P35" s="112">
        <f t="shared" si="10"/>
        <v>40.12023620883982</v>
      </c>
      <c r="Q35" s="112">
        <f t="shared" si="10"/>
        <v>33.462729763704822</v>
      </c>
      <c r="R35" s="107">
        <f t="shared" si="42"/>
        <v>21.421294804000734</v>
      </c>
      <c r="S35" s="112">
        <f t="shared" si="43"/>
        <v>18.648267795942825</v>
      </c>
      <c r="T35" s="112"/>
      <c r="U35" s="117">
        <f t="shared" ref="U35:U53" si="45">SUM(L35:T35)</f>
        <v>155.36217563041933</v>
      </c>
      <c r="V35" s="112"/>
      <c r="W35" s="107"/>
      <c r="X35" s="112"/>
      <c r="Y35" s="107"/>
      <c r="Z35" s="112"/>
      <c r="AA35" s="112"/>
      <c r="AB35" s="112"/>
      <c r="AC35" s="107">
        <v>4.2</v>
      </c>
      <c r="AD35" s="112"/>
      <c r="AE35" s="112"/>
      <c r="AF35" s="112"/>
      <c r="AG35" s="112"/>
      <c r="AH35" s="112"/>
      <c r="AI35" s="107">
        <f t="shared" si="44"/>
        <v>135.68692263128128</v>
      </c>
      <c r="AJ35" s="112"/>
      <c r="AK35" s="107">
        <f t="shared" ref="AK35:AK53" si="46">SUM(V35:AJ35)</f>
        <v>139.88692263128127</v>
      </c>
      <c r="AL35" s="110">
        <f t="shared" ref="AL35:AL53" si="47">U35-AK35</f>
        <v>15.475252999138064</v>
      </c>
      <c r="AM35" s="111">
        <f t="shared" si="5"/>
        <v>1629.822457870413</v>
      </c>
    </row>
    <row r="36" spans="4:39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J36" s="117">
        <f t="shared" si="15"/>
        <v>1629.822457870413</v>
      </c>
      <c r="K36" s="146">
        <v>0.02</v>
      </c>
      <c r="L36" s="112"/>
      <c r="M36" s="112"/>
      <c r="N36" s="107">
        <f t="shared" si="29"/>
        <v>32.596449157408259</v>
      </c>
      <c r="O36" s="107">
        <f t="shared" si="10"/>
        <v>9.6111570197157636</v>
      </c>
      <c r="P36" s="112">
        <f t="shared" si="10"/>
        <v>40.922640933016616</v>
      </c>
      <c r="Q36" s="112">
        <f t="shared" si="10"/>
        <v>34.131984358978919</v>
      </c>
      <c r="R36" s="107">
        <f t="shared" si="42"/>
        <v>21.421294804000734</v>
      </c>
      <c r="S36" s="112">
        <f t="shared" si="43"/>
        <v>18.648267795942825</v>
      </c>
      <c r="T36" s="112"/>
      <c r="U36" s="117">
        <f t="shared" si="45"/>
        <v>157.33179406906308</v>
      </c>
      <c r="V36" s="112"/>
      <c r="W36" s="107"/>
      <c r="X36" s="112"/>
      <c r="Y36" s="107"/>
      <c r="Z36" s="112"/>
      <c r="AA36" s="112"/>
      <c r="AB36" s="112"/>
      <c r="AC36" s="107">
        <v>4.2</v>
      </c>
      <c r="AD36" s="112"/>
      <c r="AE36" s="112"/>
      <c r="AF36" s="112"/>
      <c r="AG36" s="112"/>
      <c r="AH36" s="112"/>
      <c r="AI36" s="107">
        <f t="shared" si="44"/>
        <v>138.4006610839069</v>
      </c>
      <c r="AJ36" s="112"/>
      <c r="AK36" s="107">
        <f t="shared" si="46"/>
        <v>142.60066108390689</v>
      </c>
      <c r="AL36" s="110">
        <f t="shared" si="47"/>
        <v>14.731132985156194</v>
      </c>
      <c r="AM36" s="111">
        <f t="shared" ref="AM36:AM53" si="48">J36+AL36</f>
        <v>1644.5535908555692</v>
      </c>
    </row>
    <row r="37" spans="4:39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J37" s="117">
        <f t="shared" si="15"/>
        <v>1644.5535908555692</v>
      </c>
      <c r="K37" s="146">
        <v>0.02</v>
      </c>
      <c r="L37" s="112"/>
      <c r="M37" s="112"/>
      <c r="N37" s="107">
        <f t="shared" si="29"/>
        <v>32.891071817111381</v>
      </c>
      <c r="O37" s="107">
        <f t="shared" si="10"/>
        <v>9.8033801601100787</v>
      </c>
      <c r="P37" s="112">
        <f t="shared" si="10"/>
        <v>41.741093751676949</v>
      </c>
      <c r="Q37" s="112">
        <f t="shared" si="10"/>
        <v>34.814624046158499</v>
      </c>
      <c r="R37" s="107">
        <f t="shared" si="42"/>
        <v>21.421294804000734</v>
      </c>
      <c r="S37" s="112">
        <f t="shared" si="43"/>
        <v>18.648267795942825</v>
      </c>
      <c r="T37" s="112"/>
      <c r="U37" s="117">
        <f t="shared" si="45"/>
        <v>159.31973237500046</v>
      </c>
      <c r="V37" s="112"/>
      <c r="W37" s="107"/>
      <c r="X37" s="112"/>
      <c r="Y37" s="107"/>
      <c r="Z37" s="112"/>
      <c r="AA37" s="112"/>
      <c r="AB37" s="112"/>
      <c r="AC37" s="107">
        <v>4.2</v>
      </c>
      <c r="AD37" s="112"/>
      <c r="AE37" s="112"/>
      <c r="AF37" s="112"/>
      <c r="AG37" s="112"/>
      <c r="AH37" s="112"/>
      <c r="AI37" s="107">
        <f t="shared" si="44"/>
        <v>141.16867430558503</v>
      </c>
      <c r="AJ37" s="112"/>
      <c r="AK37" s="107">
        <f t="shared" si="46"/>
        <v>145.36867430558502</v>
      </c>
      <c r="AL37" s="110">
        <f t="shared" si="47"/>
        <v>13.951058069415438</v>
      </c>
      <c r="AM37" s="111">
        <f t="shared" si="48"/>
        <v>1658.5046489249846</v>
      </c>
    </row>
    <row r="38" spans="4:39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J38" s="117">
        <f t="shared" si="15"/>
        <v>1658.5046489249846</v>
      </c>
      <c r="K38" s="146">
        <v>0.02</v>
      </c>
      <c r="L38" s="112"/>
      <c r="M38" s="112"/>
      <c r="N38" s="107">
        <f t="shared" si="29"/>
        <v>33.170092978499696</v>
      </c>
      <c r="O38" s="107">
        <f t="shared" si="10"/>
        <v>9.9994477633122809</v>
      </c>
      <c r="P38" s="112">
        <f t="shared" si="10"/>
        <v>42.57591562671049</v>
      </c>
      <c r="Q38" s="112">
        <f t="shared" si="10"/>
        <v>35.510916527081669</v>
      </c>
      <c r="R38" s="107">
        <f t="shared" si="42"/>
        <v>21.421294804000734</v>
      </c>
      <c r="S38" s="112">
        <f t="shared" si="43"/>
        <v>18.648267795942825</v>
      </c>
      <c r="T38" s="112"/>
      <c r="U38" s="117">
        <f t="shared" si="45"/>
        <v>161.32593549554767</v>
      </c>
      <c r="V38" s="112"/>
      <c r="W38" s="107"/>
      <c r="X38" s="112"/>
      <c r="Y38" s="107"/>
      <c r="Z38" s="112"/>
      <c r="AA38" s="112"/>
      <c r="AB38" s="112"/>
      <c r="AC38" s="107">
        <v>4.2</v>
      </c>
      <c r="AD38" s="112"/>
      <c r="AE38" s="112"/>
      <c r="AF38" s="112"/>
      <c r="AG38" s="112"/>
      <c r="AH38" s="112"/>
      <c r="AI38" s="107">
        <f t="shared" si="44"/>
        <v>143.99204779169673</v>
      </c>
      <c r="AJ38" s="112"/>
      <c r="AK38" s="107">
        <f t="shared" si="46"/>
        <v>148.19204779169672</v>
      </c>
      <c r="AL38" s="110">
        <f t="shared" si="47"/>
        <v>13.133887703850945</v>
      </c>
      <c r="AM38" s="111">
        <f t="shared" si="48"/>
        <v>1671.6385366288355</v>
      </c>
    </row>
    <row r="39" spans="4:39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J39" s="117">
        <f t="shared" si="15"/>
        <v>1671.6385366288355</v>
      </c>
      <c r="K39" s="146">
        <v>0.02</v>
      </c>
      <c r="L39" s="112"/>
      <c r="M39" s="112"/>
      <c r="N39" s="107">
        <f t="shared" si="29"/>
        <v>33.432770732576714</v>
      </c>
      <c r="O39" s="107">
        <f t="shared" si="10"/>
        <v>10.199436718578527</v>
      </c>
      <c r="P39" s="112">
        <f t="shared" si="10"/>
        <v>43.4274339392447</v>
      </c>
      <c r="Q39" s="112">
        <f t="shared" si="10"/>
        <v>36.221134857623305</v>
      </c>
      <c r="R39" s="107">
        <f t="shared" si="42"/>
        <v>21.421294804000734</v>
      </c>
      <c r="S39" s="112">
        <f t="shared" si="43"/>
        <v>18.648267795942825</v>
      </c>
      <c r="T39" s="112"/>
      <c r="U39" s="117">
        <f t="shared" si="45"/>
        <v>163.35033884796678</v>
      </c>
      <c r="V39" s="112"/>
      <c r="W39" s="107"/>
      <c r="X39" s="112"/>
      <c r="Y39" s="107"/>
      <c r="Z39" s="112"/>
      <c r="AA39" s="112"/>
      <c r="AB39" s="112"/>
      <c r="AC39" s="112"/>
      <c r="AD39" s="112"/>
      <c r="AE39" s="112"/>
      <c r="AF39" s="112"/>
      <c r="AG39" s="112"/>
      <c r="AH39" s="112"/>
      <c r="AI39" s="107">
        <f t="shared" si="44"/>
        <v>146.87188874753068</v>
      </c>
      <c r="AJ39" s="112"/>
      <c r="AK39" s="107">
        <f t="shared" si="46"/>
        <v>146.87188874753068</v>
      </c>
      <c r="AL39" s="110">
        <f t="shared" si="47"/>
        <v>16.478450100436106</v>
      </c>
      <c r="AM39" s="111">
        <f t="shared" si="48"/>
        <v>1688.1169867292715</v>
      </c>
    </row>
    <row r="40" spans="4:39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J40" s="117">
        <f t="shared" si="15"/>
        <v>1688.1169867292715</v>
      </c>
      <c r="K40" s="146">
        <v>0.02</v>
      </c>
      <c r="L40" s="112"/>
      <c r="M40" s="112"/>
      <c r="N40" s="107">
        <f t="shared" si="29"/>
        <v>33.762339734585431</v>
      </c>
      <c r="O40" s="107">
        <f t="shared" si="10"/>
        <v>10.403425452950097</v>
      </c>
      <c r="P40" s="112">
        <f t="shared" si="10"/>
        <v>44.295982618029598</v>
      </c>
      <c r="Q40" s="112">
        <f t="shared" si="10"/>
        <v>36.945557554775775</v>
      </c>
      <c r="R40" s="107">
        <f t="shared" si="42"/>
        <v>21.421294804000734</v>
      </c>
      <c r="S40" s="112">
        <f t="shared" si="43"/>
        <v>18.648267795942825</v>
      </c>
      <c r="T40" s="112"/>
      <c r="U40" s="117">
        <f t="shared" si="45"/>
        <v>165.47686796028444</v>
      </c>
      <c r="V40" s="112"/>
      <c r="W40" s="107"/>
      <c r="X40" s="112"/>
      <c r="Y40" s="107"/>
      <c r="Z40" s="112"/>
      <c r="AA40" s="112"/>
      <c r="AB40" s="112"/>
      <c r="AC40" s="112"/>
      <c r="AD40" s="112"/>
      <c r="AE40" s="112"/>
      <c r="AF40" s="112"/>
      <c r="AG40" s="112"/>
      <c r="AH40" s="112"/>
      <c r="AI40" s="107">
        <f t="shared" si="44"/>
        <v>149.80932652248129</v>
      </c>
      <c r="AJ40" s="112"/>
      <c r="AK40" s="107">
        <f t="shared" si="46"/>
        <v>149.80932652248129</v>
      </c>
      <c r="AL40" s="110">
        <f t="shared" si="47"/>
        <v>15.667541437803152</v>
      </c>
      <c r="AM40" s="111">
        <f t="shared" si="48"/>
        <v>1703.7845281670748</v>
      </c>
    </row>
    <row r="41" spans="4:39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J41" s="117">
        <f t="shared" si="15"/>
        <v>1703.7845281670748</v>
      </c>
      <c r="K41" s="146">
        <v>0.02</v>
      </c>
      <c r="L41" s="112"/>
      <c r="M41" s="112"/>
      <c r="N41" s="107">
        <f t="shared" si="29"/>
        <v>34.075690563341496</v>
      </c>
      <c r="O41" s="107">
        <f t="shared" si="10"/>
        <v>10.611493962009099</v>
      </c>
      <c r="P41" s="112">
        <f t="shared" si="10"/>
        <v>45.181902270390189</v>
      </c>
      <c r="Q41" s="112">
        <f t="shared" si="10"/>
        <v>37.684468705871289</v>
      </c>
      <c r="R41" s="107">
        <f t="shared" si="42"/>
        <v>21.421294804000734</v>
      </c>
      <c r="S41" s="112">
        <f t="shared" si="43"/>
        <v>18.648267795942825</v>
      </c>
      <c r="T41" s="112"/>
      <c r="U41" s="117">
        <f t="shared" si="45"/>
        <v>167.6231181015556</v>
      </c>
      <c r="V41" s="112"/>
      <c r="W41" s="107"/>
      <c r="X41" s="112"/>
      <c r="Y41" s="107"/>
      <c r="Z41" s="112"/>
      <c r="AA41" s="112"/>
      <c r="AB41" s="112"/>
      <c r="AC41" s="112"/>
      <c r="AD41" s="112"/>
      <c r="AE41" s="112"/>
      <c r="AF41" s="112"/>
      <c r="AG41" s="112"/>
      <c r="AH41" s="112"/>
      <c r="AI41" s="107">
        <f t="shared" si="44"/>
        <v>152.80551305293091</v>
      </c>
      <c r="AJ41" s="112"/>
      <c r="AK41" s="107">
        <f t="shared" si="46"/>
        <v>152.80551305293091</v>
      </c>
      <c r="AL41" s="110">
        <f t="shared" si="47"/>
        <v>14.817605048624699</v>
      </c>
      <c r="AM41" s="111">
        <f t="shared" si="48"/>
        <v>1718.6021332156995</v>
      </c>
    </row>
    <row r="42" spans="4:39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J42" s="117">
        <f t="shared" si="15"/>
        <v>1718.6021332156995</v>
      </c>
      <c r="K42" s="146">
        <v>0.02</v>
      </c>
      <c r="L42" s="112"/>
      <c r="M42" s="112"/>
      <c r="N42" s="107">
        <f t="shared" si="29"/>
        <v>34.372042664313987</v>
      </c>
      <c r="O42" s="107">
        <f t="shared" si="10"/>
        <v>10.823723841249281</v>
      </c>
      <c r="P42" s="112">
        <f t="shared" si="10"/>
        <v>46.085540315797992</v>
      </c>
      <c r="Q42" s="112">
        <f t="shared" si="10"/>
        <v>38.438158079988717</v>
      </c>
      <c r="R42" s="107">
        <f t="shared" si="42"/>
        <v>21.421294804000734</v>
      </c>
      <c r="S42" s="112">
        <f t="shared" si="43"/>
        <v>18.648267795942825</v>
      </c>
      <c r="T42" s="112"/>
      <c r="U42" s="117">
        <f t="shared" si="45"/>
        <v>169.7890275012935</v>
      </c>
      <c r="V42" s="112"/>
      <c r="W42" s="107"/>
      <c r="X42" s="112"/>
      <c r="Y42" s="107"/>
      <c r="Z42" s="112"/>
      <c r="AA42" s="112"/>
      <c r="AB42" s="112"/>
      <c r="AC42" s="112"/>
      <c r="AD42" s="112"/>
      <c r="AE42" s="112"/>
      <c r="AF42" s="112"/>
      <c r="AG42" s="112"/>
      <c r="AH42" s="112"/>
      <c r="AI42" s="107">
        <f t="shared" si="44"/>
        <v>155.86162331398953</v>
      </c>
      <c r="AJ42" s="112"/>
      <c r="AK42" s="107">
        <f t="shared" si="46"/>
        <v>155.86162331398953</v>
      </c>
      <c r="AL42" s="110">
        <f t="shared" si="47"/>
        <v>13.927404187303978</v>
      </c>
      <c r="AM42" s="111">
        <f t="shared" si="48"/>
        <v>1732.5295374030034</v>
      </c>
    </row>
    <row r="43" spans="4:39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J43" s="117">
        <f t="shared" si="15"/>
        <v>1732.5295374030034</v>
      </c>
      <c r="K43" s="146">
        <v>0.02</v>
      </c>
      <c r="L43" s="112"/>
      <c r="M43" s="112"/>
      <c r="N43" s="107">
        <f t="shared" si="29"/>
        <v>34.650590748060068</v>
      </c>
      <c r="O43" s="107">
        <f t="shared" si="10"/>
        <v>11.040198318074268</v>
      </c>
      <c r="P43" s="112">
        <f t="shared" si="10"/>
        <v>47.007251122113949</v>
      </c>
      <c r="Q43" s="112">
        <f t="shared" si="10"/>
        <v>39.206921241588489</v>
      </c>
      <c r="R43" s="107">
        <f t="shared" si="42"/>
        <v>21.421294804000734</v>
      </c>
      <c r="S43" s="112">
        <f t="shared" si="43"/>
        <v>18.648267795942825</v>
      </c>
      <c r="T43" s="112"/>
      <c r="U43" s="117">
        <f t="shared" si="45"/>
        <v>171.9745240297803</v>
      </c>
      <c r="V43" s="112"/>
      <c r="W43" s="107"/>
      <c r="X43" s="112"/>
      <c r="Y43" s="107"/>
      <c r="Z43" s="112"/>
      <c r="AA43" s="112"/>
      <c r="AB43" s="112"/>
      <c r="AC43" s="112"/>
      <c r="AD43" s="112"/>
      <c r="AE43" s="112"/>
      <c r="AF43" s="112"/>
      <c r="AG43" s="112"/>
      <c r="AH43" s="112"/>
      <c r="AI43" s="107">
        <f t="shared" si="44"/>
        <v>158.97885578026933</v>
      </c>
      <c r="AJ43" s="112"/>
      <c r="AK43" s="107">
        <f t="shared" si="46"/>
        <v>158.97885578026933</v>
      </c>
      <c r="AL43" s="110">
        <f t="shared" si="47"/>
        <v>12.99566824951097</v>
      </c>
      <c r="AM43" s="111">
        <f t="shared" si="48"/>
        <v>1745.5252056525144</v>
      </c>
    </row>
    <row r="44" spans="4:39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J44" s="117">
        <f t="shared" si="15"/>
        <v>1745.5252056525144</v>
      </c>
      <c r="K44" s="146">
        <v>0.02</v>
      </c>
      <c r="L44" s="112"/>
      <c r="M44" s="112"/>
      <c r="N44" s="107">
        <f t="shared" si="29"/>
        <v>34.910504113050287</v>
      </c>
      <c r="O44" s="107">
        <f t="shared" si="10"/>
        <v>11.261002284435753</v>
      </c>
      <c r="P44" s="112">
        <f t="shared" si="10"/>
        <v>47.94739614455623</v>
      </c>
      <c r="Q44" s="112">
        <f t="shared" si="10"/>
        <v>39.991059666420263</v>
      </c>
      <c r="R44" s="107">
        <f t="shared" si="42"/>
        <v>21.421294804000734</v>
      </c>
      <c r="S44" s="112">
        <f t="shared" si="43"/>
        <v>18.648267795942825</v>
      </c>
      <c r="T44" s="112"/>
      <c r="U44" s="117">
        <f t="shared" si="45"/>
        <v>174.17952480840606</v>
      </c>
      <c r="V44" s="112"/>
      <c r="W44" s="107"/>
      <c r="X44" s="112"/>
      <c r="Y44" s="107"/>
      <c r="Z44" s="112"/>
      <c r="AA44" s="112"/>
      <c r="AB44" s="112"/>
      <c r="AC44" s="112"/>
      <c r="AD44" s="112"/>
      <c r="AE44" s="112"/>
      <c r="AF44" s="112"/>
      <c r="AG44" s="112"/>
      <c r="AH44" s="112"/>
      <c r="AI44" s="107">
        <f t="shared" si="44"/>
        <v>162.15843289587471</v>
      </c>
      <c r="AJ44" s="112"/>
      <c r="AK44" s="107">
        <f t="shared" si="46"/>
        <v>162.15843289587471</v>
      </c>
      <c r="AL44" s="110">
        <f t="shared" si="47"/>
        <v>12.021091912531347</v>
      </c>
      <c r="AM44" s="111">
        <f t="shared" si="48"/>
        <v>1757.5462975650457</v>
      </c>
    </row>
    <row r="45" spans="4:39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J45" s="117">
        <f t="shared" si="15"/>
        <v>1757.5462975650457</v>
      </c>
      <c r="K45" s="146">
        <v>0.02</v>
      </c>
      <c r="L45" s="112"/>
      <c r="M45" s="112"/>
      <c r="N45" s="107">
        <f t="shared" si="29"/>
        <v>35.150925951300913</v>
      </c>
      <c r="O45" s="107">
        <f t="shared" si="10"/>
        <v>11.486222330124468</v>
      </c>
      <c r="P45" s="112">
        <f t="shared" si="10"/>
        <v>48.906344067447357</v>
      </c>
      <c r="Q45" s="112">
        <f t="shared" si="10"/>
        <v>40.790880859748668</v>
      </c>
      <c r="R45" s="107">
        <f t="shared" si="42"/>
        <v>21.421294804000734</v>
      </c>
      <c r="S45" s="112">
        <f t="shared" si="43"/>
        <v>18.648267795942825</v>
      </c>
      <c r="T45" s="112"/>
      <c r="U45" s="117">
        <f t="shared" si="45"/>
        <v>176.40393580856494</v>
      </c>
      <c r="V45" s="112"/>
      <c r="W45" s="107"/>
      <c r="X45" s="112"/>
      <c r="Y45" s="107"/>
      <c r="Z45" s="112"/>
      <c r="AA45" s="112"/>
      <c r="AB45" s="112"/>
      <c r="AC45" s="112"/>
      <c r="AD45" s="112"/>
      <c r="AE45" s="112"/>
      <c r="AF45" s="112"/>
      <c r="AG45" s="112"/>
      <c r="AH45" s="112"/>
      <c r="AI45" s="107">
        <f t="shared" si="44"/>
        <v>165.4016015537922</v>
      </c>
      <c r="AJ45" s="112"/>
      <c r="AK45" s="107">
        <f t="shared" si="46"/>
        <v>165.4016015537922</v>
      </c>
      <c r="AL45" s="110">
        <f t="shared" si="47"/>
        <v>11.002334254772734</v>
      </c>
      <c r="AM45" s="111">
        <f t="shared" si="48"/>
        <v>1768.5486318198184</v>
      </c>
    </row>
    <row r="46" spans="4:39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J46" s="117">
        <f t="shared" si="15"/>
        <v>1768.5486318198184</v>
      </c>
      <c r="K46" s="146">
        <v>0.02</v>
      </c>
      <c r="L46" s="112"/>
      <c r="M46" s="112"/>
      <c r="N46" s="107">
        <f t="shared" si="29"/>
        <v>35.370972636396367</v>
      </c>
      <c r="O46" s="107">
        <f t="shared" si="10"/>
        <v>11.715946776726957</v>
      </c>
      <c r="P46" s="112">
        <f t="shared" si="10"/>
        <v>49.884470948796306</v>
      </c>
      <c r="Q46" s="112">
        <f t="shared" si="10"/>
        <v>41.606698476943642</v>
      </c>
      <c r="R46" s="107">
        <f t="shared" si="42"/>
        <v>21.421294804000734</v>
      </c>
      <c r="S46" s="112">
        <f t="shared" si="43"/>
        <v>18.648267795942825</v>
      </c>
      <c r="T46" s="112"/>
      <c r="U46" s="117">
        <f t="shared" si="45"/>
        <v>178.6476514388068</v>
      </c>
      <c r="V46" s="112"/>
      <c r="W46" s="107"/>
      <c r="X46" s="112"/>
      <c r="Y46" s="107"/>
      <c r="Z46" s="112"/>
      <c r="AA46" s="112"/>
      <c r="AB46" s="112"/>
      <c r="AC46" s="112"/>
      <c r="AD46" s="112"/>
      <c r="AE46" s="112"/>
      <c r="AF46" s="112"/>
      <c r="AG46" s="112"/>
      <c r="AH46" s="112"/>
      <c r="AI46" s="107">
        <f t="shared" si="44"/>
        <v>168.70963358486804</v>
      </c>
      <c r="AJ46" s="112"/>
      <c r="AK46" s="107">
        <f t="shared" si="46"/>
        <v>168.70963358486804</v>
      </c>
      <c r="AL46" s="110">
        <f t="shared" si="47"/>
        <v>9.93801785393876</v>
      </c>
      <c r="AM46" s="111">
        <f t="shared" si="48"/>
        <v>1778.4866496737573</v>
      </c>
    </row>
    <row r="47" spans="4:39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J47" s="117">
        <f t="shared" si="15"/>
        <v>1778.4866496737573</v>
      </c>
      <c r="K47" s="146">
        <v>0.02</v>
      </c>
      <c r="L47" s="112"/>
      <c r="M47" s="112"/>
      <c r="N47" s="107">
        <f t="shared" si="29"/>
        <v>35.569732993475149</v>
      </c>
      <c r="O47" s="107">
        <f t="shared" si="10"/>
        <v>11.950265712261496</v>
      </c>
      <c r="P47" s="112">
        <f t="shared" si="10"/>
        <v>50.882160367772229</v>
      </c>
      <c r="Q47" s="112">
        <f t="shared" si="10"/>
        <v>42.438832446482515</v>
      </c>
      <c r="R47" s="107">
        <f t="shared" si="42"/>
        <v>21.421294804000734</v>
      </c>
      <c r="S47" s="112">
        <f t="shared" si="43"/>
        <v>18.648267795942825</v>
      </c>
      <c r="T47" s="112"/>
      <c r="U47" s="117">
        <f t="shared" si="45"/>
        <v>180.91055411993491</v>
      </c>
      <c r="V47" s="112"/>
      <c r="W47" s="107"/>
      <c r="X47" s="112"/>
      <c r="Y47" s="107"/>
      <c r="Z47" s="112"/>
      <c r="AA47" s="112"/>
      <c r="AB47" s="112"/>
      <c r="AC47" s="112"/>
      <c r="AD47" s="112"/>
      <c r="AE47" s="112"/>
      <c r="AF47" s="112"/>
      <c r="AG47" s="112"/>
      <c r="AH47" s="112"/>
      <c r="AI47" s="107">
        <f t="shared" si="44"/>
        <v>172.0838262565654</v>
      </c>
      <c r="AJ47" s="112"/>
      <c r="AK47" s="107">
        <f t="shared" si="46"/>
        <v>172.0838262565654</v>
      </c>
      <c r="AL47" s="110">
        <f t="shared" si="47"/>
        <v>8.8267278633695128</v>
      </c>
      <c r="AM47" s="111">
        <f t="shared" si="48"/>
        <v>1787.3133775371268</v>
      </c>
    </row>
    <row r="48" spans="4:39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J48" s="117">
        <f t="shared" si="15"/>
        <v>1787.3133775371268</v>
      </c>
      <c r="K48" s="146">
        <v>0.02</v>
      </c>
      <c r="L48" s="112"/>
      <c r="M48" s="112"/>
      <c r="N48" s="107">
        <f t="shared" si="29"/>
        <v>35.746267550742537</v>
      </c>
      <c r="O48" s="107">
        <f t="shared" si="10"/>
        <v>12.189271026506725</v>
      </c>
      <c r="P48" s="112">
        <f t="shared" si="10"/>
        <v>51.899803575127677</v>
      </c>
      <c r="Q48" s="112">
        <f t="shared" si="10"/>
        <v>43.287609095412165</v>
      </c>
      <c r="R48" s="107"/>
      <c r="S48" s="112"/>
      <c r="T48" s="112"/>
      <c r="U48" s="117">
        <f t="shared" si="45"/>
        <v>143.1229512477891</v>
      </c>
      <c r="V48" s="112"/>
      <c r="W48" s="107"/>
      <c r="X48" s="112"/>
      <c r="Y48" s="107"/>
      <c r="Z48" s="112"/>
      <c r="AA48" s="112"/>
      <c r="AB48" s="112"/>
      <c r="AC48" s="112"/>
      <c r="AD48" s="112"/>
      <c r="AE48" s="112"/>
      <c r="AF48" s="112"/>
      <c r="AG48" s="112"/>
      <c r="AH48" s="112"/>
      <c r="AI48" s="107">
        <f t="shared" si="44"/>
        <v>175.5255027816967</v>
      </c>
      <c r="AJ48" s="112"/>
      <c r="AK48" s="107">
        <f t="shared" si="46"/>
        <v>175.5255027816967</v>
      </c>
      <c r="AL48" s="110">
        <f t="shared" si="47"/>
        <v>-32.402551533907598</v>
      </c>
      <c r="AM48" s="111">
        <f t="shared" si="48"/>
        <v>1754.9108260032192</v>
      </c>
    </row>
    <row r="49" spans="4:39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J49" s="117">
        <f t="shared" si="15"/>
        <v>1754.9108260032192</v>
      </c>
      <c r="K49" s="146">
        <v>0.02</v>
      </c>
      <c r="L49" s="112"/>
      <c r="M49" s="112"/>
      <c r="N49" s="107">
        <f t="shared" si="29"/>
        <v>35.098216520064383</v>
      </c>
      <c r="O49" s="107">
        <f t="shared" si="10"/>
        <v>12.43305644703686</v>
      </c>
      <c r="P49" s="112">
        <f t="shared" si="10"/>
        <v>52.937799646630232</v>
      </c>
      <c r="Q49" s="112">
        <f t="shared" si="10"/>
        <v>44.153361277320407</v>
      </c>
      <c r="R49" s="107"/>
      <c r="S49" s="112"/>
      <c r="T49" s="112"/>
      <c r="U49" s="117">
        <f t="shared" si="45"/>
        <v>144.62243389105188</v>
      </c>
      <c r="V49" s="112"/>
      <c r="W49" s="107"/>
      <c r="X49" s="112"/>
      <c r="Y49" s="107"/>
      <c r="Z49" s="112"/>
      <c r="AA49" s="112"/>
      <c r="AB49" s="112"/>
      <c r="AC49" s="112"/>
      <c r="AD49" s="112"/>
      <c r="AE49" s="112"/>
      <c r="AF49" s="112"/>
      <c r="AG49" s="112"/>
      <c r="AH49" s="112"/>
      <c r="AI49" s="107">
        <f t="shared" si="44"/>
        <v>179.03601283733065</v>
      </c>
      <c r="AJ49" s="112"/>
      <c r="AK49" s="107">
        <f t="shared" si="46"/>
        <v>179.03601283733065</v>
      </c>
      <c r="AL49" s="110">
        <f t="shared" si="47"/>
        <v>-34.413578946278761</v>
      </c>
      <c r="AM49" s="111">
        <f t="shared" si="48"/>
        <v>1720.4972470569405</v>
      </c>
    </row>
    <row r="50" spans="4:39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J50" s="117">
        <f t="shared" si="15"/>
        <v>1720.4972470569405</v>
      </c>
      <c r="K50" s="146">
        <v>0.02</v>
      </c>
      <c r="L50" s="112"/>
      <c r="M50" s="112"/>
      <c r="N50" s="107">
        <f t="shared" si="29"/>
        <v>34.409944941138811</v>
      </c>
      <c r="O50" s="107">
        <f t="shared" si="10"/>
        <v>12.681717575977597</v>
      </c>
      <c r="P50" s="112">
        <f t="shared" si="10"/>
        <v>53.996555639562835</v>
      </c>
      <c r="Q50" s="112">
        <f t="shared" si="10"/>
        <v>45.036428502866819</v>
      </c>
      <c r="R50" s="107"/>
      <c r="S50" s="112"/>
      <c r="T50" s="112"/>
      <c r="U50" s="117">
        <f t="shared" si="45"/>
        <v>146.12464665954604</v>
      </c>
      <c r="V50" s="112"/>
      <c r="W50" s="107"/>
      <c r="X50" s="112"/>
      <c r="Y50" s="107"/>
      <c r="Z50" s="112"/>
      <c r="AA50" s="112"/>
      <c r="AB50" s="112"/>
      <c r="AC50" s="112"/>
      <c r="AD50" s="112"/>
      <c r="AE50" s="112"/>
      <c r="AF50" s="112"/>
      <c r="AG50" s="112"/>
      <c r="AH50" s="112"/>
      <c r="AI50" s="107">
        <f t="shared" si="44"/>
        <v>182.61673309407726</v>
      </c>
      <c r="AJ50" s="112"/>
      <c r="AK50" s="107">
        <f t="shared" si="46"/>
        <v>182.61673309407726</v>
      </c>
      <c r="AL50" s="110">
        <f t="shared" si="47"/>
        <v>-36.492086434531217</v>
      </c>
      <c r="AM50" s="111">
        <f t="shared" si="48"/>
        <v>1684.0051606224092</v>
      </c>
    </row>
    <row r="51" spans="4:39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J51" s="117">
        <f t="shared" si="15"/>
        <v>1684.0051606224092</v>
      </c>
      <c r="K51" s="146">
        <v>0.02</v>
      </c>
      <c r="L51" s="112"/>
      <c r="M51" s="112"/>
      <c r="N51" s="107">
        <f t="shared" si="29"/>
        <v>33.680103212448188</v>
      </c>
      <c r="O51" s="107">
        <f t="shared" si="10"/>
        <v>12.93535192749715</v>
      </c>
      <c r="P51" s="112">
        <f t="shared" si="10"/>
        <v>55.076486752354093</v>
      </c>
      <c r="Q51" s="112">
        <f t="shared" si="10"/>
        <v>45.937157072924158</v>
      </c>
      <c r="R51" s="107"/>
      <c r="S51" s="112"/>
      <c r="T51" s="112"/>
      <c r="U51" s="117">
        <f t="shared" si="45"/>
        <v>147.62909896522359</v>
      </c>
      <c r="V51" s="112"/>
      <c r="W51" s="107"/>
      <c r="X51" s="112"/>
      <c r="Y51" s="107"/>
      <c r="Z51" s="112"/>
      <c r="AA51" s="112"/>
      <c r="AB51" s="112"/>
      <c r="AC51" s="112"/>
      <c r="AD51" s="112"/>
      <c r="AE51" s="112"/>
      <c r="AF51" s="112"/>
      <c r="AG51" s="112"/>
      <c r="AH51" s="112"/>
      <c r="AI51" s="107">
        <f t="shared" si="44"/>
        <v>186.26906775595882</v>
      </c>
      <c r="AJ51" s="112"/>
      <c r="AK51" s="107">
        <f t="shared" si="46"/>
        <v>186.26906775595882</v>
      </c>
      <c r="AL51" s="110">
        <f t="shared" si="47"/>
        <v>-38.639968790735225</v>
      </c>
      <c r="AM51" s="111">
        <f t="shared" si="48"/>
        <v>1645.3651918316741</v>
      </c>
    </row>
    <row r="52" spans="4:39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J52" s="117">
        <f t="shared" si="15"/>
        <v>1645.3651918316741</v>
      </c>
      <c r="K52" s="146">
        <v>0.02</v>
      </c>
      <c r="L52" s="112"/>
      <c r="M52" s="112"/>
      <c r="N52" s="107">
        <f t="shared" si="29"/>
        <v>32.907303836633481</v>
      </c>
      <c r="O52" s="107">
        <f t="shared" si="10"/>
        <v>13.194058966047093</v>
      </c>
      <c r="P52" s="112">
        <f t="shared" si="10"/>
        <v>56.178016487401173</v>
      </c>
      <c r="Q52" s="112">
        <f t="shared" si="10"/>
        <v>46.855900214382643</v>
      </c>
      <c r="R52" s="107"/>
      <c r="S52" s="112"/>
      <c r="T52" s="112"/>
      <c r="U52" s="117">
        <f t="shared" si="45"/>
        <v>149.13527950446439</v>
      </c>
      <c r="V52" s="112"/>
      <c r="W52" s="107"/>
      <c r="X52" s="112"/>
      <c r="Y52" s="107"/>
      <c r="Z52" s="112"/>
      <c r="AA52" s="112"/>
      <c r="AB52" s="112"/>
      <c r="AC52" s="112"/>
      <c r="AD52" s="112"/>
      <c r="AE52" s="112"/>
      <c r="AF52" s="112"/>
      <c r="AG52" s="112"/>
      <c r="AH52" s="112"/>
      <c r="AI52" s="107">
        <f t="shared" si="44"/>
        <v>189.99444911107798</v>
      </c>
      <c r="AJ52" s="112"/>
      <c r="AK52" s="107">
        <f t="shared" si="46"/>
        <v>189.99444911107798</v>
      </c>
      <c r="AL52" s="110">
        <f t="shared" si="47"/>
        <v>-40.859169606613591</v>
      </c>
      <c r="AM52" s="111">
        <f t="shared" si="48"/>
        <v>1604.5060222250604</v>
      </c>
    </row>
    <row r="53" spans="4:39" x14ac:dyDescent="0.3">
      <c r="D53" s="99">
        <v>50</v>
      </c>
      <c r="E53" s="99">
        <v>90</v>
      </c>
      <c r="F53" s="99">
        <v>90</v>
      </c>
      <c r="G53" s="99">
        <v>63</v>
      </c>
      <c r="H53" s="99">
        <v>61</v>
      </c>
      <c r="I53" s="17"/>
      <c r="J53" s="122">
        <f t="shared" si="15"/>
        <v>1604.5060222250604</v>
      </c>
      <c r="K53" s="147">
        <v>0.02</v>
      </c>
      <c r="L53" s="113"/>
      <c r="M53" s="113"/>
      <c r="N53" s="108">
        <f t="shared" si="29"/>
        <v>32.09012044450121</v>
      </c>
      <c r="O53" s="108">
        <f t="shared" si="10"/>
        <v>13.457940145368035</v>
      </c>
      <c r="P53" s="113">
        <f t="shared" si="10"/>
        <v>57.301576817149197</v>
      </c>
      <c r="Q53" s="113">
        <f t="shared" si="10"/>
        <v>47.793018218670298</v>
      </c>
      <c r="R53" s="113"/>
      <c r="S53" s="113"/>
      <c r="T53" s="113"/>
      <c r="U53" s="122">
        <f t="shared" si="45"/>
        <v>150.64265562568875</v>
      </c>
      <c r="V53" s="113"/>
      <c r="W53" s="108"/>
      <c r="X53" s="113"/>
      <c r="Y53" s="108"/>
      <c r="Z53" s="113"/>
      <c r="AA53" s="113"/>
      <c r="AB53" s="113"/>
      <c r="AC53" s="113"/>
      <c r="AD53" s="113"/>
      <c r="AE53" s="113"/>
      <c r="AF53" s="113"/>
      <c r="AG53" s="113"/>
      <c r="AH53" s="113"/>
      <c r="AI53" s="108">
        <f t="shared" si="44"/>
        <v>193.79433809329956</v>
      </c>
      <c r="AJ53" s="113"/>
      <c r="AK53" s="108">
        <f t="shared" si="46"/>
        <v>193.79433809329956</v>
      </c>
      <c r="AL53" s="114">
        <f t="shared" si="47"/>
        <v>-43.151682467610811</v>
      </c>
      <c r="AM53" s="115">
        <f t="shared" si="48"/>
        <v>1561.3543397574497</v>
      </c>
    </row>
  </sheetData>
  <mergeCells count="24">
    <mergeCell ref="A1:B1"/>
    <mergeCell ref="T1:T2"/>
    <mergeCell ref="AQ1:AR1"/>
    <mergeCell ref="AO1:AP1"/>
    <mergeCell ref="AM1:AM2"/>
    <mergeCell ref="H1:H2"/>
    <mergeCell ref="L1:M1"/>
    <mergeCell ref="N1:N2"/>
    <mergeCell ref="O1:O2"/>
    <mergeCell ref="S1:S2"/>
    <mergeCell ref="U1:U2"/>
    <mergeCell ref="V1:AJ1"/>
    <mergeCell ref="P1:P2"/>
    <mergeCell ref="K1:K2"/>
    <mergeCell ref="AK1:AK2"/>
    <mergeCell ref="AL1:AL2"/>
    <mergeCell ref="Q1:Q2"/>
    <mergeCell ref="R1:R2"/>
    <mergeCell ref="J1:J2"/>
    <mergeCell ref="D1:D2"/>
    <mergeCell ref="E1:E2"/>
    <mergeCell ref="F1:F2"/>
    <mergeCell ref="G1:G2"/>
    <mergeCell ref="I1:I2"/>
  </mergeCells>
  <phoneticPr fontId="26" type="noConversion"/>
  <conditionalFormatting sqref="AM1:AM1048576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Z8 Z10 AF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53"/>
  <sheetViews>
    <sheetView zoomScaleNormal="100" zoomScaleSheetLayoutView="87" workbookViewId="0">
      <selection sqref="A1:B1"/>
    </sheetView>
  </sheetViews>
  <sheetFormatPr defaultColWidth="8.796875" defaultRowHeight="14" x14ac:dyDescent="0.3"/>
  <cols>
    <col min="1" max="1" width="20.09765625" style="9" customWidth="1"/>
    <col min="2" max="2" width="6.5" style="9" customWidth="1"/>
    <col min="3" max="3" width="8.796875" style="9"/>
    <col min="4" max="8" width="6.09765625" style="9" bestFit="1" customWidth="1"/>
    <col min="9" max="9" width="36.59765625" style="9" bestFit="1" customWidth="1"/>
    <col min="10" max="10" width="10.5" style="9" customWidth="1"/>
    <col min="11" max="21" width="8.19921875" style="9" customWidth="1"/>
    <col min="22" max="22" width="6" style="9" customWidth="1"/>
    <col min="23" max="23" width="10.5" style="9" customWidth="1"/>
    <col min="24" max="24" width="6" style="9" customWidth="1"/>
    <col min="25" max="25" width="10.5" style="9" customWidth="1"/>
    <col min="26" max="27" width="6" style="9" customWidth="1"/>
    <col min="28" max="29" width="7.5" style="9" bestFit="1" customWidth="1"/>
    <col min="30" max="32" width="6.3984375" style="9" bestFit="1" customWidth="1"/>
    <col min="33" max="33" width="7.5" style="9" bestFit="1" customWidth="1"/>
    <col min="34" max="34" width="6.3984375" style="9" bestFit="1" customWidth="1"/>
    <col min="35" max="35" width="10.69921875" style="9" bestFit="1" customWidth="1"/>
    <col min="36" max="36" width="9.296875" style="9" customWidth="1"/>
    <col min="37" max="37" width="8.19921875" style="9" customWidth="1"/>
    <col min="38" max="38" width="8.59765625" style="9" bestFit="1" customWidth="1"/>
    <col min="39" max="39" width="8.59765625" style="18" bestFit="1" customWidth="1"/>
    <col min="40" max="40" width="10.69921875" style="9" bestFit="1" customWidth="1"/>
    <col min="41" max="41" width="8.796875" style="9"/>
    <col min="42" max="44" width="8.8984375" style="9" bestFit="1" customWidth="1"/>
    <col min="45" max="45" width="10.09765625" style="9" customWidth="1"/>
    <col min="46" max="46" width="18" style="9" customWidth="1"/>
    <col min="47" max="16384" width="8.796875" style="9"/>
  </cols>
  <sheetData>
    <row r="1" spans="1:46" ht="14.5" customHeight="1" x14ac:dyDescent="0.3">
      <c r="A1" s="196" t="s">
        <v>347</v>
      </c>
      <c r="B1" s="196"/>
      <c r="C1" s="88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K1" s="189" t="s">
        <v>297</v>
      </c>
      <c r="L1" s="196" t="s">
        <v>298</v>
      </c>
      <c r="M1" s="196"/>
      <c r="N1" s="187" t="s">
        <v>299</v>
      </c>
      <c r="O1" s="187" t="s">
        <v>300</v>
      </c>
      <c r="P1" s="187" t="s">
        <v>301</v>
      </c>
      <c r="Q1" s="187" t="s">
        <v>302</v>
      </c>
      <c r="R1" s="187" t="s">
        <v>303</v>
      </c>
      <c r="S1" s="187" t="s">
        <v>304</v>
      </c>
      <c r="T1" s="187" t="s">
        <v>305</v>
      </c>
      <c r="U1" s="189" t="s">
        <v>306</v>
      </c>
      <c r="V1" s="196" t="s">
        <v>307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7" t="s">
        <v>154</v>
      </c>
      <c r="AL1" s="189" t="s">
        <v>308</v>
      </c>
      <c r="AM1" s="189" t="s">
        <v>309</v>
      </c>
      <c r="AN1" s="189" t="s">
        <v>310</v>
      </c>
      <c r="AO1" s="88"/>
      <c r="AP1" s="199" t="s">
        <v>350</v>
      </c>
      <c r="AQ1" s="199"/>
      <c r="AR1" s="199" t="s">
        <v>351</v>
      </c>
      <c r="AS1" s="199"/>
      <c r="AT1" s="106" t="s">
        <v>352</v>
      </c>
    </row>
    <row r="2" spans="1:46" ht="14.5" x14ac:dyDescent="0.3">
      <c r="A2" s="100" t="s">
        <v>348</v>
      </c>
      <c r="B2" s="101" t="s">
        <v>349</v>
      </c>
      <c r="C2" s="88"/>
      <c r="D2" s="192"/>
      <c r="E2" s="192"/>
      <c r="F2" s="192"/>
      <c r="G2" s="192"/>
      <c r="H2" s="192"/>
      <c r="I2" s="192"/>
      <c r="J2" s="190"/>
      <c r="K2" s="190"/>
      <c r="L2" s="91" t="s">
        <v>315</v>
      </c>
      <c r="M2" s="91" t="s">
        <v>316</v>
      </c>
      <c r="N2" s="188"/>
      <c r="O2" s="188"/>
      <c r="P2" s="188"/>
      <c r="Q2" s="188"/>
      <c r="R2" s="188"/>
      <c r="S2" s="188"/>
      <c r="T2" s="188"/>
      <c r="U2" s="190"/>
      <c r="V2" s="91" t="s">
        <v>317</v>
      </c>
      <c r="W2" s="91" t="s">
        <v>318</v>
      </c>
      <c r="X2" s="91" t="s">
        <v>319</v>
      </c>
      <c r="Y2" s="91" t="s">
        <v>320</v>
      </c>
      <c r="Z2" s="91" t="s">
        <v>321</v>
      </c>
      <c r="AA2" s="91" t="s">
        <v>322</v>
      </c>
      <c r="AB2" s="91" t="s">
        <v>323</v>
      </c>
      <c r="AC2" s="91" t="s">
        <v>324</v>
      </c>
      <c r="AD2" s="91" t="s">
        <v>325</v>
      </c>
      <c r="AE2" s="91" t="s">
        <v>326</v>
      </c>
      <c r="AF2" s="91" t="s">
        <v>327</v>
      </c>
      <c r="AG2" s="91" t="s">
        <v>328</v>
      </c>
      <c r="AH2" s="91" t="s">
        <v>329</v>
      </c>
      <c r="AI2" s="91" t="s">
        <v>330</v>
      </c>
      <c r="AJ2" s="91" t="s">
        <v>331</v>
      </c>
      <c r="AK2" s="198"/>
      <c r="AL2" s="190"/>
      <c r="AM2" s="190"/>
      <c r="AN2" s="190"/>
      <c r="AO2" s="105"/>
      <c r="AP2" s="92" t="s">
        <v>353</v>
      </c>
      <c r="AQ2" s="92" t="s">
        <v>354</v>
      </c>
      <c r="AR2" s="92" t="s">
        <v>353</v>
      </c>
      <c r="AS2" s="92" t="s">
        <v>354</v>
      </c>
      <c r="AT2" s="92" t="s">
        <v>353</v>
      </c>
    </row>
    <row r="3" spans="1:46" ht="14.5" x14ac:dyDescent="0.3">
      <c r="A3" s="88" t="s">
        <v>332</v>
      </c>
      <c r="B3" s="93">
        <v>0.02</v>
      </c>
      <c r="C3" s="88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88"/>
      <c r="J3" s="118"/>
      <c r="K3" s="107"/>
      <c r="L3" s="107">
        <v>54</v>
      </c>
      <c r="M3" s="107">
        <v>84</v>
      </c>
      <c r="N3" s="107">
        <v>2</v>
      </c>
      <c r="O3" s="107">
        <v>5</v>
      </c>
      <c r="P3" s="107"/>
      <c r="Q3" s="107"/>
      <c r="R3" s="107"/>
      <c r="S3" s="107"/>
      <c r="T3" s="107"/>
      <c r="U3" s="107">
        <f>SUM(L3:T3)</f>
        <v>145</v>
      </c>
      <c r="V3" s="107">
        <v>38.4</v>
      </c>
      <c r="W3" s="107">
        <v>5</v>
      </c>
      <c r="X3" s="107">
        <v>12</v>
      </c>
      <c r="Y3" s="107">
        <v>3</v>
      </c>
      <c r="Z3" s="107">
        <v>22.8</v>
      </c>
      <c r="AA3" s="107">
        <v>4.08</v>
      </c>
      <c r="AB3" s="107">
        <v>4.5</v>
      </c>
      <c r="AC3" s="107">
        <v>13.6</v>
      </c>
      <c r="AD3" s="107">
        <v>4.88</v>
      </c>
      <c r="AE3" s="107">
        <v>3.8</v>
      </c>
      <c r="AF3" s="107">
        <v>13</v>
      </c>
      <c r="AG3" s="107">
        <v>12</v>
      </c>
      <c r="AH3" s="107">
        <v>6.2</v>
      </c>
      <c r="AI3" s="107"/>
      <c r="AJ3" s="107"/>
      <c r="AK3" s="107"/>
      <c r="AL3" s="107">
        <f>SUM(V3:AK3)</f>
        <v>143.26</v>
      </c>
      <c r="AM3" s="110">
        <f>U3-AL3</f>
        <v>1.7400000000000091</v>
      </c>
      <c r="AN3" s="111">
        <v>55</v>
      </c>
      <c r="AO3" s="105"/>
      <c r="AR3" s="9">
        <v>90</v>
      </c>
      <c r="AS3" s="9">
        <v>90</v>
      </c>
      <c r="AT3" s="9">
        <v>50</v>
      </c>
    </row>
    <row r="4" spans="1:46" ht="14.5" x14ac:dyDescent="0.3">
      <c r="A4" s="88" t="s">
        <v>333</v>
      </c>
      <c r="B4" s="93">
        <v>0.02</v>
      </c>
      <c r="C4" s="88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88"/>
      <c r="J4" s="117">
        <f>AN3</f>
        <v>55</v>
      </c>
      <c r="K4" s="146">
        <v>0.04</v>
      </c>
      <c r="L4" s="107">
        <f t="shared" ref="L4:L27" si="0">L3*(1+$B$4)</f>
        <v>55.08</v>
      </c>
      <c r="M4" s="107">
        <f t="shared" ref="M4:M27" si="1">M3*(1+$B$5)</f>
        <v>84.84</v>
      </c>
      <c r="N4" s="107">
        <f>J4*K4</f>
        <v>2.2000000000000002</v>
      </c>
      <c r="O4" s="107">
        <f>O3*(1+$B$3)</f>
        <v>5.0999999999999996</v>
      </c>
      <c r="P4" s="107"/>
      <c r="Q4" s="107"/>
      <c r="R4" s="107"/>
      <c r="S4" s="107"/>
      <c r="T4" s="107"/>
      <c r="U4" s="107">
        <f t="shared" ref="U4:U52" si="2">SUM(L4:T4)</f>
        <v>147.22</v>
      </c>
      <c r="V4" s="107">
        <v>38.4</v>
      </c>
      <c r="W4" s="107">
        <f>W3*(1+$B$3)</f>
        <v>5.0999999999999996</v>
      </c>
      <c r="X4" s="107">
        <v>12</v>
      </c>
      <c r="Y4" s="107">
        <f>Y3*(1+$B$3)</f>
        <v>3.06</v>
      </c>
      <c r="Z4" s="107">
        <f t="shared" ref="Y4:Z8" si="3">Z3*(1+$B$3)</f>
        <v>23.256</v>
      </c>
      <c r="AA4" s="107">
        <v>4.08</v>
      </c>
      <c r="AB4" s="107">
        <v>4.7</v>
      </c>
      <c r="AC4" s="107">
        <v>13.6</v>
      </c>
      <c r="AD4" s="107">
        <f>AD3*(1+$B$3)</f>
        <v>4.9775999999999998</v>
      </c>
      <c r="AE4" s="107">
        <f t="shared" ref="AD4:AF8" si="4">AE3*(1+$B$3)</f>
        <v>3.8759999999999999</v>
      </c>
      <c r="AF4" s="107">
        <f>AF3*(1+$B$3)</f>
        <v>13.26</v>
      </c>
      <c r="AG4" s="107">
        <v>12</v>
      </c>
      <c r="AH4" s="107">
        <f>AH3*(1+$B$3)</f>
        <v>6.3240000000000007</v>
      </c>
      <c r="AI4" s="107"/>
      <c r="AJ4" s="107"/>
      <c r="AK4" s="109">
        <v>-5</v>
      </c>
      <c r="AL4" s="107">
        <f t="shared" ref="AL4:AL53" si="5">SUM(V4:AK4)</f>
        <v>139.6336</v>
      </c>
      <c r="AM4" s="104">
        <f>U4-AL4</f>
        <v>7.5863999999999976</v>
      </c>
      <c r="AN4" s="111">
        <f t="shared" ref="AN4:AN35" si="6">J4+AM4</f>
        <v>62.586399999999998</v>
      </c>
      <c r="AO4" s="88"/>
      <c r="AP4" s="81">
        <f t="shared" ref="AP4:AP27" si="7">L4*0.06</f>
        <v>3.3047999999999997</v>
      </c>
      <c r="AQ4" s="81">
        <f>3.82*12*0.06</f>
        <v>2.7503999999999995</v>
      </c>
      <c r="AR4" s="112">
        <f t="shared" ref="AR4:AR27" si="8">AR3*(1+$B$6)+AP4</f>
        <v>96.904800000000009</v>
      </c>
      <c r="AS4" s="112">
        <f t="shared" ref="AS4:AS27" si="9">AS3*(1+$B$6)+AQ4</f>
        <v>96.350400000000008</v>
      </c>
      <c r="AT4" s="112">
        <f t="shared" ref="AT4:AT13" si="10">AT3*(1+$B$7) + 6</f>
        <v>58</v>
      </c>
    </row>
    <row r="5" spans="1:46" ht="14.5" x14ac:dyDescent="0.3">
      <c r="A5" s="88" t="s">
        <v>334</v>
      </c>
      <c r="B5" s="93">
        <v>0.01</v>
      </c>
      <c r="C5" s="88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88"/>
      <c r="J5" s="117">
        <f>AN4</f>
        <v>62.586399999999998</v>
      </c>
      <c r="K5" s="146">
        <v>0.04</v>
      </c>
      <c r="L5" s="107">
        <f t="shared" si="0"/>
        <v>56.181599999999996</v>
      </c>
      <c r="M5" s="107">
        <f t="shared" si="1"/>
        <v>85.688400000000001</v>
      </c>
      <c r="N5" s="107">
        <f>J5*K5</f>
        <v>2.5034559999999999</v>
      </c>
      <c r="O5" s="107">
        <f t="shared" ref="O5:O20" si="11">O4*(1+$B$3)</f>
        <v>5.202</v>
      </c>
      <c r="P5" s="107"/>
      <c r="Q5" s="107"/>
      <c r="R5" s="107"/>
      <c r="S5" s="107"/>
      <c r="T5" s="107"/>
      <c r="U5" s="107">
        <f t="shared" si="2"/>
        <v>149.575456</v>
      </c>
      <c r="V5" s="107">
        <v>38.4</v>
      </c>
      <c r="W5" s="107">
        <f>W4*(1+$B$3)</f>
        <v>5.202</v>
      </c>
      <c r="X5" s="107">
        <v>12</v>
      </c>
      <c r="Y5" s="107">
        <f t="shared" si="3"/>
        <v>3.1212</v>
      </c>
      <c r="Z5" s="107">
        <f t="shared" si="3"/>
        <v>23.721119999999999</v>
      </c>
      <c r="AA5" s="107">
        <v>4.08</v>
      </c>
      <c r="AB5" s="107">
        <v>4.9000000000000004</v>
      </c>
      <c r="AC5" s="107">
        <v>13.6</v>
      </c>
      <c r="AD5" s="107">
        <f t="shared" si="4"/>
        <v>5.0771519999999999</v>
      </c>
      <c r="AE5" s="107">
        <f t="shared" si="4"/>
        <v>3.9535200000000001</v>
      </c>
      <c r="AF5" s="107">
        <f t="shared" si="4"/>
        <v>13.5252</v>
      </c>
      <c r="AG5" s="107">
        <v>12</v>
      </c>
      <c r="AH5" s="107">
        <f t="shared" ref="AH5:AH23" si="12">AH4*(1+$B$3)</f>
        <v>6.4504800000000007</v>
      </c>
      <c r="AI5" s="107"/>
      <c r="AJ5" s="107"/>
      <c r="AK5" s="109">
        <v>-5</v>
      </c>
      <c r="AL5" s="107">
        <f t="shared" si="5"/>
        <v>141.03067200000001</v>
      </c>
      <c r="AM5" s="110">
        <f t="shared" ref="AM5:AM34" si="13">U5-AL5</f>
        <v>8.5447839999999928</v>
      </c>
      <c r="AN5" s="111">
        <f t="shared" si="6"/>
        <v>71.13118399999999</v>
      </c>
      <c r="AO5" s="88"/>
      <c r="AP5" s="81">
        <f t="shared" si="7"/>
        <v>3.3708959999999997</v>
      </c>
      <c r="AQ5" s="81">
        <f t="shared" ref="AQ5:AQ27" si="14">3.82*12*0.06</f>
        <v>2.7503999999999995</v>
      </c>
      <c r="AR5" s="112">
        <f t="shared" si="8"/>
        <v>104.15188800000001</v>
      </c>
      <c r="AS5" s="112">
        <f t="shared" si="9"/>
        <v>102.95481600000001</v>
      </c>
      <c r="AT5" s="112">
        <f t="shared" si="10"/>
        <v>66.319999999999993</v>
      </c>
    </row>
    <row r="6" spans="1:46" ht="14.5" x14ac:dyDescent="0.3">
      <c r="A6" s="88" t="s">
        <v>335</v>
      </c>
      <c r="B6" s="93">
        <v>0.04</v>
      </c>
      <c r="C6" s="88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88"/>
      <c r="J6" s="117">
        <f>AN5</f>
        <v>71.13118399999999</v>
      </c>
      <c r="K6" s="146">
        <v>0.04</v>
      </c>
      <c r="L6" s="107">
        <f t="shared" si="0"/>
        <v>57.305231999999997</v>
      </c>
      <c r="M6" s="107">
        <f t="shared" si="1"/>
        <v>86.545283999999995</v>
      </c>
      <c r="N6" s="107">
        <f>J6*K6</f>
        <v>2.8452473599999997</v>
      </c>
      <c r="O6" s="107">
        <f t="shared" si="11"/>
        <v>5.3060400000000003</v>
      </c>
      <c r="P6" s="107"/>
      <c r="Q6" s="107"/>
      <c r="R6" s="107"/>
      <c r="S6" s="107"/>
      <c r="T6" s="107"/>
      <c r="U6" s="107">
        <f t="shared" si="2"/>
        <v>152.00180336</v>
      </c>
      <c r="V6" s="107">
        <v>38.4</v>
      </c>
      <c r="W6" s="107">
        <f>W5*(1+$B$3)</f>
        <v>5.3060400000000003</v>
      </c>
      <c r="X6" s="107">
        <v>12</v>
      </c>
      <c r="Y6" s="107">
        <f t="shared" si="3"/>
        <v>3.183624</v>
      </c>
      <c r="Z6" s="107">
        <f t="shared" si="3"/>
        <v>24.195542400000001</v>
      </c>
      <c r="AA6" s="107">
        <v>4.08</v>
      </c>
      <c r="AB6" s="107">
        <v>5.3</v>
      </c>
      <c r="AC6" s="107">
        <v>13.6</v>
      </c>
      <c r="AD6" s="107">
        <f t="shared" si="4"/>
        <v>5.17869504</v>
      </c>
      <c r="AE6" s="107">
        <f t="shared" si="4"/>
        <v>4.0325904000000001</v>
      </c>
      <c r="AF6" s="107">
        <f t="shared" si="4"/>
        <v>13.795704000000001</v>
      </c>
      <c r="AG6" s="107">
        <v>12</v>
      </c>
      <c r="AH6" s="107">
        <f t="shared" si="12"/>
        <v>6.5794896000000005</v>
      </c>
      <c r="AI6" s="107"/>
      <c r="AJ6" s="107"/>
      <c r="AK6" s="109">
        <v>-5</v>
      </c>
      <c r="AL6" s="107">
        <f t="shared" si="5"/>
        <v>142.65168543999999</v>
      </c>
      <c r="AM6" s="110">
        <f t="shared" si="13"/>
        <v>9.3501179200000024</v>
      </c>
      <c r="AN6" s="111">
        <f t="shared" si="6"/>
        <v>80.481301919999993</v>
      </c>
      <c r="AO6" s="88"/>
      <c r="AP6" s="81">
        <f t="shared" si="7"/>
        <v>3.4383139199999997</v>
      </c>
      <c r="AQ6" s="81">
        <f t="shared" si="14"/>
        <v>2.7503999999999995</v>
      </c>
      <c r="AR6" s="112">
        <f t="shared" si="8"/>
        <v>111.75627744000002</v>
      </c>
      <c r="AS6" s="112">
        <f t="shared" si="9"/>
        <v>109.82340864000001</v>
      </c>
      <c r="AT6" s="112">
        <f t="shared" si="10"/>
        <v>74.972799999999992</v>
      </c>
    </row>
    <row r="7" spans="1:46" ht="14.5" x14ac:dyDescent="0.3">
      <c r="A7" s="95" t="s">
        <v>336</v>
      </c>
      <c r="B7" s="96">
        <v>0.04</v>
      </c>
      <c r="C7" s="88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88" t="s">
        <v>337</v>
      </c>
      <c r="J7" s="117">
        <f>AN6</f>
        <v>80.481301919999993</v>
      </c>
      <c r="K7" s="146">
        <v>0.04</v>
      </c>
      <c r="L7" s="107">
        <f t="shared" si="0"/>
        <v>58.451336640000001</v>
      </c>
      <c r="M7" s="107">
        <f t="shared" si="1"/>
        <v>87.410736839999998</v>
      </c>
      <c r="N7" s="107">
        <f>J7*K7</f>
        <v>3.2192520767999997</v>
      </c>
      <c r="O7" s="107">
        <f t="shared" si="11"/>
        <v>5.4121608000000005</v>
      </c>
      <c r="P7" s="107"/>
      <c r="Q7" s="107"/>
      <c r="R7" s="107"/>
      <c r="S7" s="107"/>
      <c r="T7" s="107"/>
      <c r="U7" s="107">
        <f t="shared" si="2"/>
        <v>154.49348635679999</v>
      </c>
      <c r="V7" s="107">
        <v>38.4</v>
      </c>
      <c r="W7" s="107">
        <f>W6*(1+$B$3)</f>
        <v>5.4121608000000005</v>
      </c>
      <c r="X7" s="107">
        <v>12</v>
      </c>
      <c r="Y7" s="107">
        <f t="shared" si="3"/>
        <v>3.2472964800000002</v>
      </c>
      <c r="Z7" s="107">
        <f t="shared" si="3"/>
        <v>24.679453248000002</v>
      </c>
      <c r="AA7" s="107">
        <v>4.08</v>
      </c>
      <c r="AB7" s="107">
        <v>5.5</v>
      </c>
      <c r="AC7" s="107">
        <v>13.6</v>
      </c>
      <c r="AD7" s="107">
        <f t="shared" si="4"/>
        <v>5.2822689407999999</v>
      </c>
      <c r="AE7" s="107">
        <f t="shared" si="4"/>
        <v>4.113242208</v>
      </c>
      <c r="AF7" s="107">
        <f t="shared" si="4"/>
        <v>14.07161808</v>
      </c>
      <c r="AG7" s="107">
        <v>12</v>
      </c>
      <c r="AH7" s="107">
        <f t="shared" si="12"/>
        <v>6.7110793920000003</v>
      </c>
      <c r="AI7" s="107"/>
      <c r="AJ7" s="107">
        <f>理財目標費用終值!D16</f>
        <v>21.648643199999999</v>
      </c>
      <c r="AK7" s="109">
        <v>-5</v>
      </c>
      <c r="AL7" s="107">
        <f t="shared" si="5"/>
        <v>165.74576234879999</v>
      </c>
      <c r="AM7" s="110">
        <f t="shared" si="13"/>
        <v>-11.252275991999994</v>
      </c>
      <c r="AN7" s="111">
        <f t="shared" si="6"/>
        <v>69.229025927999999</v>
      </c>
      <c r="AO7" s="88"/>
      <c r="AP7" s="81">
        <f t="shared" si="7"/>
        <v>3.5070801983999997</v>
      </c>
      <c r="AQ7" s="81">
        <f t="shared" si="14"/>
        <v>2.7503999999999995</v>
      </c>
      <c r="AR7" s="112">
        <f t="shared" si="8"/>
        <v>119.73360873600002</v>
      </c>
      <c r="AS7" s="112">
        <f t="shared" si="9"/>
        <v>116.96674498560002</v>
      </c>
      <c r="AT7" s="112">
        <f t="shared" si="10"/>
        <v>83.971711999999997</v>
      </c>
    </row>
    <row r="8" spans="1:46" ht="14.5" x14ac:dyDescent="0.3">
      <c r="C8" s="88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88" t="s">
        <v>338</v>
      </c>
      <c r="J8" s="117">
        <f>AN7</f>
        <v>69.229025927999999</v>
      </c>
      <c r="K8" s="146">
        <v>0.04</v>
      </c>
      <c r="L8" s="107">
        <f t="shared" si="0"/>
        <v>59.6203633728</v>
      </c>
      <c r="M8" s="107">
        <f t="shared" si="1"/>
        <v>88.284844208400003</v>
      </c>
      <c r="N8" s="107">
        <f>J8*K8</f>
        <v>2.7691610371199999</v>
      </c>
      <c r="O8" s="107">
        <f t="shared" si="11"/>
        <v>5.5204040160000005</v>
      </c>
      <c r="P8" s="107"/>
      <c r="Q8" s="107"/>
      <c r="R8" s="107"/>
      <c r="S8" s="107"/>
      <c r="T8" s="107"/>
      <c r="U8" s="107">
        <f t="shared" si="2"/>
        <v>156.19477263431997</v>
      </c>
      <c r="V8" s="107">
        <v>38.4</v>
      </c>
      <c r="W8" s="107">
        <f>W7*(1+$B$3)</f>
        <v>5.5204040160000005</v>
      </c>
      <c r="X8" s="107"/>
      <c r="Y8" s="107">
        <f t="shared" si="3"/>
        <v>3.3122424096</v>
      </c>
      <c r="Z8" s="107">
        <f>Z7*(1+$B$3)*(3/4)</f>
        <v>18.879781734720002</v>
      </c>
      <c r="AA8" s="107">
        <v>4.08</v>
      </c>
      <c r="AB8" s="107">
        <v>5.3</v>
      </c>
      <c r="AC8" s="107">
        <v>13.6</v>
      </c>
      <c r="AD8" s="107">
        <f t="shared" si="4"/>
        <v>5.3879143196159998</v>
      </c>
      <c r="AE8" s="107">
        <f t="shared" si="4"/>
        <v>4.19550705216</v>
      </c>
      <c r="AF8" s="107">
        <f>AF7*(1+$B$3)*0.5</f>
        <v>7.1765252208000003</v>
      </c>
      <c r="AG8" s="107">
        <v>12</v>
      </c>
      <c r="AH8" s="107">
        <f t="shared" si="12"/>
        <v>6.8453009798400002</v>
      </c>
      <c r="AI8" s="107"/>
      <c r="AJ8" s="107">
        <f>理財目標費用終值!D3</f>
        <v>27.602020079999999</v>
      </c>
      <c r="AK8" s="109">
        <v>-5</v>
      </c>
      <c r="AL8" s="107">
        <f t="shared" si="5"/>
        <v>147.29969581273599</v>
      </c>
      <c r="AM8" s="110">
        <f t="shared" si="13"/>
        <v>8.8950768215839844</v>
      </c>
      <c r="AN8" s="111">
        <f t="shared" si="6"/>
        <v>78.124102749583983</v>
      </c>
      <c r="AO8" s="88"/>
      <c r="AP8" s="81">
        <f t="shared" si="7"/>
        <v>3.5772218023679998</v>
      </c>
      <c r="AQ8" s="81">
        <f t="shared" si="14"/>
        <v>2.7503999999999995</v>
      </c>
      <c r="AR8" s="112">
        <f t="shared" si="8"/>
        <v>128.10017488780801</v>
      </c>
      <c r="AS8" s="112">
        <f t="shared" si="9"/>
        <v>124.39581478502402</v>
      </c>
      <c r="AT8" s="112">
        <f t="shared" si="10"/>
        <v>93.330580479999995</v>
      </c>
    </row>
    <row r="9" spans="1:46" ht="14.5" x14ac:dyDescent="0.3">
      <c r="A9" s="88"/>
      <c r="B9" s="97"/>
      <c r="C9" s="88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88" t="s">
        <v>339</v>
      </c>
      <c r="J9" s="117">
        <f t="shared" ref="J9:J53" si="15">AN8</f>
        <v>78.124102749583983</v>
      </c>
      <c r="K9" s="146">
        <v>0.04</v>
      </c>
      <c r="L9" s="107">
        <f t="shared" si="0"/>
        <v>60.812770640255998</v>
      </c>
      <c r="M9" s="107">
        <f t="shared" si="1"/>
        <v>89.167692650484</v>
      </c>
      <c r="N9" s="107">
        <v>3</v>
      </c>
      <c r="O9" s="107">
        <f t="shared" si="11"/>
        <v>5.6308120963200006</v>
      </c>
      <c r="P9" s="107"/>
      <c r="Q9" s="107"/>
      <c r="R9" s="107"/>
      <c r="S9" s="107"/>
      <c r="T9" s="107"/>
      <c r="U9" s="107">
        <f t="shared" si="2"/>
        <v>158.61127538706</v>
      </c>
      <c r="V9" s="107">
        <v>38.4</v>
      </c>
      <c r="W9" s="107">
        <v>6</v>
      </c>
      <c r="X9" s="107"/>
      <c r="Y9" s="107">
        <v>4</v>
      </c>
      <c r="Z9" s="107">
        <f>Z8*(1+$B$3)</f>
        <v>19.257377369414403</v>
      </c>
      <c r="AA9" s="107">
        <v>4.08</v>
      </c>
      <c r="AB9" s="107">
        <v>5.6</v>
      </c>
      <c r="AC9" s="107">
        <v>13.6</v>
      </c>
      <c r="AD9" s="107">
        <f t="shared" ref="AD9" si="16">AD8*(1+$B$3)</f>
        <v>5.4956726060083199</v>
      </c>
      <c r="AE9" s="107">
        <f>AE8*(1+$B$3)</f>
        <v>4.2794171932031997</v>
      </c>
      <c r="AF9" s="107">
        <f>AF8*(1+$B$3)</f>
        <v>7.3200557252160001</v>
      </c>
      <c r="AG9" s="107">
        <v>12</v>
      </c>
      <c r="AH9" s="107">
        <f t="shared" si="12"/>
        <v>6.9822069994368006</v>
      </c>
      <c r="AI9" s="107"/>
      <c r="AJ9" s="107">
        <f>理財目標費用終值!D4</f>
        <v>28.154060481600002</v>
      </c>
      <c r="AK9" s="109">
        <v>-5</v>
      </c>
      <c r="AL9" s="107">
        <f t="shared" si="5"/>
        <v>150.16879037487871</v>
      </c>
      <c r="AM9" s="110">
        <f t="shared" si="13"/>
        <v>8.4424850121812938</v>
      </c>
      <c r="AN9" s="111">
        <f t="shared" si="6"/>
        <v>86.566587761765277</v>
      </c>
      <c r="AO9" s="88"/>
      <c r="AP9" s="81">
        <f t="shared" si="7"/>
        <v>3.6487662384153596</v>
      </c>
      <c r="AQ9" s="81">
        <f t="shared" si="14"/>
        <v>2.7503999999999995</v>
      </c>
      <c r="AR9" s="112">
        <f t="shared" si="8"/>
        <v>136.8729481217357</v>
      </c>
      <c r="AS9" s="112">
        <f t="shared" si="9"/>
        <v>132.122047376425</v>
      </c>
      <c r="AT9" s="112">
        <f t="shared" si="10"/>
        <v>103.06380369919999</v>
      </c>
    </row>
    <row r="10" spans="1:46" ht="14.5" x14ac:dyDescent="0.3">
      <c r="A10" s="88"/>
      <c r="B10" s="97"/>
      <c r="C10" s="88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88" t="s">
        <v>340</v>
      </c>
      <c r="J10" s="117">
        <f t="shared" si="15"/>
        <v>86.566587761765277</v>
      </c>
      <c r="K10" s="146">
        <v>0.04</v>
      </c>
      <c r="L10" s="107">
        <f t="shared" si="0"/>
        <v>62.029026053061116</v>
      </c>
      <c r="M10" s="107">
        <f t="shared" si="1"/>
        <v>90.059369576988843</v>
      </c>
      <c r="N10" s="107">
        <f>J10*K10</f>
        <v>3.4626635104706112</v>
      </c>
      <c r="O10" s="107">
        <f t="shared" si="11"/>
        <v>5.7434283382464004</v>
      </c>
      <c r="P10" s="107"/>
      <c r="Q10" s="107"/>
      <c r="R10" s="107"/>
      <c r="S10" s="107"/>
      <c r="T10" s="107"/>
      <c r="U10" s="107">
        <f t="shared" si="2"/>
        <v>161.29448747876694</v>
      </c>
      <c r="V10" s="107">
        <v>38.4</v>
      </c>
      <c r="W10" s="107">
        <f t="shared" ref="W10:W26" si="17">W9*(1+$B$3)</f>
        <v>6.12</v>
      </c>
      <c r="X10" s="107"/>
      <c r="Y10" s="107">
        <f>Y9*(1+$B$3)</f>
        <v>4.08</v>
      </c>
      <c r="Z10" s="107">
        <f>Z9*(1+$B$3)*(2/3)</f>
        <v>13.095016611201794</v>
      </c>
      <c r="AA10" s="107">
        <v>4.08</v>
      </c>
      <c r="AB10" s="107">
        <v>5.0999999999999996</v>
      </c>
      <c r="AC10" s="107">
        <v>13.6</v>
      </c>
      <c r="AD10" s="107">
        <f t="shared" ref="AD10" si="18">AD9*(1+$B$3)</f>
        <v>5.6055860581284866</v>
      </c>
      <c r="AE10" s="107">
        <f t="shared" ref="AE10:AE25" si="19">AE9*(1+$B$3)</f>
        <v>4.3650055370672636</v>
      </c>
      <c r="AF10" s="107"/>
      <c r="AG10" s="107">
        <v>12</v>
      </c>
      <c r="AH10" s="107">
        <f t="shared" si="12"/>
        <v>7.1218511394255364</v>
      </c>
      <c r="AI10" s="107"/>
      <c r="AJ10" s="107">
        <f>理財目標費用終值!D5+理財目標費用終值!D8</f>
        <v>57.434283382463988</v>
      </c>
      <c r="AK10" s="109">
        <v>-5</v>
      </c>
      <c r="AL10" s="107">
        <f t="shared" si="5"/>
        <v>166.00174272828704</v>
      </c>
      <c r="AM10" s="110">
        <f t="shared" si="13"/>
        <v>-4.7072552495201023</v>
      </c>
      <c r="AN10" s="111">
        <f t="shared" si="6"/>
        <v>81.859332512245174</v>
      </c>
      <c r="AO10" s="88"/>
      <c r="AP10" s="81">
        <f t="shared" si="7"/>
        <v>3.721741563183667</v>
      </c>
      <c r="AQ10" s="81">
        <f t="shared" si="14"/>
        <v>2.7503999999999995</v>
      </c>
      <c r="AR10" s="112">
        <f t="shared" si="8"/>
        <v>146.06960760978879</v>
      </c>
      <c r="AS10" s="112">
        <f t="shared" si="9"/>
        <v>140.15732927148201</v>
      </c>
      <c r="AT10" s="112">
        <f t="shared" si="10"/>
        <v>113.186355847168</v>
      </c>
    </row>
    <row r="11" spans="1:46" ht="14.5" x14ac:dyDescent="0.3">
      <c r="A11" s="88"/>
      <c r="B11" s="97"/>
      <c r="C11" s="88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88" t="s">
        <v>341</v>
      </c>
      <c r="J11" s="117">
        <f t="shared" si="15"/>
        <v>81.859332512245174</v>
      </c>
      <c r="K11" s="146">
        <v>0.04</v>
      </c>
      <c r="L11" s="107">
        <f t="shared" si="0"/>
        <v>63.269606574122342</v>
      </c>
      <c r="M11" s="107">
        <f t="shared" si="1"/>
        <v>90.959963272758728</v>
      </c>
      <c r="N11" s="107">
        <f>J11*K11</f>
        <v>3.274373300489807</v>
      </c>
      <c r="O11" s="107">
        <f t="shared" si="11"/>
        <v>5.8582969050113283</v>
      </c>
      <c r="P11" s="107"/>
      <c r="Q11" s="107"/>
      <c r="R11" s="107"/>
      <c r="S11" s="107"/>
      <c r="T11" s="107"/>
      <c r="U11" s="107">
        <f t="shared" si="2"/>
        <v>163.36224005238219</v>
      </c>
      <c r="V11" s="107">
        <v>38.4</v>
      </c>
      <c r="W11" s="107">
        <f t="shared" si="17"/>
        <v>6.2423999999999999</v>
      </c>
      <c r="X11" s="107"/>
      <c r="Y11" s="107">
        <f>Y10*(1+$B$3)</f>
        <v>4.1616</v>
      </c>
      <c r="Z11" s="107">
        <f>Z10*(1+$B$3)</f>
        <v>13.35691694342583</v>
      </c>
      <c r="AA11" s="107">
        <v>4.08</v>
      </c>
      <c r="AB11" s="107">
        <v>5.8</v>
      </c>
      <c r="AC11" s="107">
        <v>13.6</v>
      </c>
      <c r="AD11" s="107">
        <f t="shared" ref="AD11" si="20">AD10*(1+$B$3)</f>
        <v>5.7176977792910568</v>
      </c>
      <c r="AE11" s="107">
        <f t="shared" si="19"/>
        <v>4.4523056478086085</v>
      </c>
      <c r="AF11" s="107"/>
      <c r="AG11" s="107">
        <v>12</v>
      </c>
      <c r="AH11" s="107">
        <f t="shared" si="12"/>
        <v>7.2642881622140472</v>
      </c>
      <c r="AI11" s="107"/>
      <c r="AJ11" s="107">
        <f>理財目標費用終值!D6+理財目標費用終值!D9+理財目標費用終值!D17</f>
        <v>82.01615667015858</v>
      </c>
      <c r="AK11" s="109">
        <v>-5</v>
      </c>
      <c r="AL11" s="107">
        <f t="shared" si="5"/>
        <v>192.09136520289812</v>
      </c>
      <c r="AM11" s="110">
        <f t="shared" si="13"/>
        <v>-28.729125150515927</v>
      </c>
      <c r="AN11" s="111">
        <f t="shared" si="6"/>
        <v>53.130207361729248</v>
      </c>
      <c r="AO11" s="88"/>
      <c r="AP11" s="81">
        <f t="shared" si="7"/>
        <v>3.7961763944473406</v>
      </c>
      <c r="AQ11" s="81">
        <f t="shared" si="14"/>
        <v>2.7503999999999995</v>
      </c>
      <c r="AR11" s="112">
        <f t="shared" si="8"/>
        <v>155.70856830862769</v>
      </c>
      <c r="AS11" s="112">
        <f t="shared" si="9"/>
        <v>148.51402244234131</v>
      </c>
      <c r="AT11" s="112">
        <f t="shared" si="10"/>
        <v>123.71381008105473</v>
      </c>
    </row>
    <row r="12" spans="1:46" ht="14.5" x14ac:dyDescent="0.3">
      <c r="A12" s="88"/>
      <c r="B12" s="97"/>
      <c r="C12" s="88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88" t="s">
        <v>342</v>
      </c>
      <c r="J12" s="117">
        <f t="shared" si="15"/>
        <v>53.130207361729248</v>
      </c>
      <c r="K12" s="146">
        <v>0.04</v>
      </c>
      <c r="L12" s="107">
        <f t="shared" si="0"/>
        <v>64.534998705604792</v>
      </c>
      <c r="M12" s="107">
        <f t="shared" si="1"/>
        <v>91.869562905486319</v>
      </c>
      <c r="N12" s="107">
        <f>J12*K12</f>
        <v>2.1252082944691701</v>
      </c>
      <c r="O12" s="107">
        <f t="shared" si="11"/>
        <v>5.9754628431115551</v>
      </c>
      <c r="P12" s="107"/>
      <c r="Q12" s="107"/>
      <c r="R12" s="107"/>
      <c r="S12" s="107"/>
      <c r="T12" s="107"/>
      <c r="U12" s="107">
        <f t="shared" si="2"/>
        <v>164.50523274867183</v>
      </c>
      <c r="V12" s="107">
        <v>38.4</v>
      </c>
      <c r="W12" s="107">
        <f t="shared" si="17"/>
        <v>6.367248</v>
      </c>
      <c r="X12" s="107"/>
      <c r="Y12" s="107">
        <f>Y11*(1+$B$3)</f>
        <v>4.2448319999999997</v>
      </c>
      <c r="Z12" s="107">
        <f>Z11*(1+$B$3)</f>
        <v>13.624055282294346</v>
      </c>
      <c r="AA12" s="107">
        <v>4.08</v>
      </c>
      <c r="AB12" s="107">
        <v>6.3</v>
      </c>
      <c r="AC12" s="107">
        <v>13.6</v>
      </c>
      <c r="AD12" s="107">
        <f t="shared" ref="AD12" si="21">AD11*(1+$B$3)</f>
        <v>5.8320517348768783</v>
      </c>
      <c r="AE12" s="107">
        <f t="shared" si="19"/>
        <v>4.5413517607647806</v>
      </c>
      <c r="AF12" s="107"/>
      <c r="AG12" s="107">
        <v>12</v>
      </c>
      <c r="AH12" s="107">
        <f t="shared" si="12"/>
        <v>7.4095739254583286</v>
      </c>
      <c r="AI12" s="107"/>
      <c r="AJ12" s="107">
        <f>理財目標費用終值!D10</f>
        <v>29.877314215557771</v>
      </c>
      <c r="AK12" s="109">
        <v>-5</v>
      </c>
      <c r="AL12" s="107">
        <f t="shared" si="5"/>
        <v>141.2764269189521</v>
      </c>
      <c r="AM12" s="110">
        <f t="shared" si="13"/>
        <v>23.228805829719732</v>
      </c>
      <c r="AN12" s="111">
        <f t="shared" si="6"/>
        <v>76.35901319144898</v>
      </c>
      <c r="AO12" s="88"/>
      <c r="AP12" s="81">
        <f t="shared" si="7"/>
        <v>3.8720999223362873</v>
      </c>
      <c r="AQ12" s="81">
        <f t="shared" si="14"/>
        <v>2.7503999999999995</v>
      </c>
      <c r="AR12" s="112">
        <f t="shared" si="8"/>
        <v>165.80901096330908</v>
      </c>
      <c r="AS12" s="112">
        <f t="shared" si="9"/>
        <v>157.204983340035</v>
      </c>
      <c r="AT12" s="112">
        <f t="shared" si="10"/>
        <v>134.66236248429692</v>
      </c>
    </row>
    <row r="13" spans="1:46" ht="14.5" x14ac:dyDescent="0.3">
      <c r="A13" s="88"/>
      <c r="B13" s="97"/>
      <c r="C13" s="88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88" t="s">
        <v>343</v>
      </c>
      <c r="J13" s="117">
        <f t="shared" si="15"/>
        <v>76.35901319144898</v>
      </c>
      <c r="K13" s="146">
        <v>0.04</v>
      </c>
      <c r="L13" s="107">
        <f t="shared" si="0"/>
        <v>65.825698679716893</v>
      </c>
      <c r="M13" s="107">
        <f t="shared" si="1"/>
        <v>92.788258534541185</v>
      </c>
      <c r="N13" s="107">
        <f>J13*K13</f>
        <v>3.0543605276579591</v>
      </c>
      <c r="O13" s="107">
        <f t="shared" si="11"/>
        <v>6.094972099973786</v>
      </c>
      <c r="P13" s="107"/>
      <c r="Q13" s="107"/>
      <c r="R13" s="107"/>
      <c r="S13" s="107"/>
      <c r="T13" s="107"/>
      <c r="U13" s="107">
        <f t="shared" si="2"/>
        <v>167.76328984188982</v>
      </c>
      <c r="V13" s="107">
        <v>38.4</v>
      </c>
      <c r="W13" s="107">
        <f t="shared" si="17"/>
        <v>6.4945929600000003</v>
      </c>
      <c r="X13" s="107"/>
      <c r="Y13" s="107">
        <f>Y12*(1+$B$3)</f>
        <v>4.3297286399999999</v>
      </c>
      <c r="Z13" s="107">
        <f>Z12*(1+$B$3)</f>
        <v>13.896536387940234</v>
      </c>
      <c r="AA13" s="107">
        <v>4.08</v>
      </c>
      <c r="AB13" s="107">
        <v>6.6</v>
      </c>
      <c r="AC13" s="107">
        <v>13.6</v>
      </c>
      <c r="AD13" s="107">
        <f t="shared" ref="AD13" si="22">AD12*(1+$B$3)</f>
        <v>5.9486927695744161</v>
      </c>
      <c r="AE13" s="107">
        <f t="shared" si="19"/>
        <v>4.6321787959800762</v>
      </c>
      <c r="AF13" s="107"/>
      <c r="AG13" s="107">
        <f>12*2</f>
        <v>24</v>
      </c>
      <c r="AH13" s="107">
        <f t="shared" si="12"/>
        <v>7.5577654039674957</v>
      </c>
      <c r="AI13" s="107"/>
      <c r="AJ13" s="107">
        <f>理財目標費用終值!D11+理財目標費用終值!D13</f>
        <v>115.80446989950192</v>
      </c>
      <c r="AK13" s="109">
        <v>-5</v>
      </c>
      <c r="AL13" s="107">
        <f t="shared" si="5"/>
        <v>240.34396485696413</v>
      </c>
      <c r="AM13" s="110">
        <f t="shared" si="13"/>
        <v>-72.58067501507432</v>
      </c>
      <c r="AN13" s="142">
        <f t="shared" si="6"/>
        <v>3.7783381763746604</v>
      </c>
      <c r="AO13" s="88"/>
      <c r="AP13" s="81">
        <f t="shared" si="7"/>
        <v>3.9495419207830134</v>
      </c>
      <c r="AQ13" s="81">
        <f t="shared" si="14"/>
        <v>2.7503999999999995</v>
      </c>
      <c r="AR13" s="112">
        <f t="shared" si="8"/>
        <v>176.39091332262447</v>
      </c>
      <c r="AS13" s="112">
        <f t="shared" si="9"/>
        <v>166.24358267363641</v>
      </c>
      <c r="AT13" s="112">
        <f t="shared" si="10"/>
        <v>146.0488569836688</v>
      </c>
    </row>
    <row r="14" spans="1:46" x14ac:dyDescent="0.3">
      <c r="A14" s="88"/>
      <c r="B14" s="97"/>
      <c r="C14" s="88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88"/>
      <c r="J14" s="117">
        <f t="shared" si="15"/>
        <v>3.7783381763746604</v>
      </c>
      <c r="K14" s="146">
        <v>0.04</v>
      </c>
      <c r="L14" s="107">
        <f t="shared" si="0"/>
        <v>67.142212653311233</v>
      </c>
      <c r="M14" s="107">
        <f t="shared" si="1"/>
        <v>93.716141119886601</v>
      </c>
      <c r="N14" s="107">
        <f>J14*K14</f>
        <v>0.15113352705498642</v>
      </c>
      <c r="O14" s="107">
        <f t="shared" si="11"/>
        <v>6.2168715419732621</v>
      </c>
      <c r="P14" s="107"/>
      <c r="Q14" s="107"/>
      <c r="R14" s="107"/>
      <c r="S14" s="107"/>
      <c r="T14" s="107"/>
      <c r="U14" s="107">
        <f t="shared" si="2"/>
        <v>167.22635884222609</v>
      </c>
      <c r="V14" s="107">
        <v>38.4</v>
      </c>
      <c r="W14" s="107">
        <f t="shared" si="17"/>
        <v>6.6244848192000001</v>
      </c>
      <c r="X14" s="107"/>
      <c r="Y14" s="107">
        <f>Y13*(1+$B$3)</f>
        <v>4.4163232128000001</v>
      </c>
      <c r="Z14" s="107">
        <f>Z13*(1+$B$3)</f>
        <v>14.17446711569904</v>
      </c>
      <c r="AA14" s="107">
        <v>4.08</v>
      </c>
      <c r="AB14" s="107">
        <v>7.2</v>
      </c>
      <c r="AC14" s="107">
        <v>7.6</v>
      </c>
      <c r="AD14" s="107">
        <f t="shared" ref="AD14" si="23">AD13*(1+$B$3)</f>
        <v>6.0676666249659048</v>
      </c>
      <c r="AE14" s="107">
        <f t="shared" si="19"/>
        <v>4.7248223718996778</v>
      </c>
      <c r="AF14" s="107"/>
      <c r="AG14" s="107">
        <f t="shared" ref="AG14:AG23" si="24">12*2</f>
        <v>24</v>
      </c>
      <c r="AH14" s="107">
        <f t="shared" si="12"/>
        <v>7.7089207120468455</v>
      </c>
      <c r="AI14" s="107"/>
      <c r="AJ14" s="107"/>
      <c r="AK14" s="107"/>
      <c r="AL14" s="107">
        <f t="shared" si="5"/>
        <v>124.99668485661147</v>
      </c>
      <c r="AM14" s="110">
        <f t="shared" si="13"/>
        <v>42.229673985614625</v>
      </c>
      <c r="AN14" s="111">
        <f t="shared" si="6"/>
        <v>46.008012161989285</v>
      </c>
      <c r="AO14" s="88"/>
      <c r="AP14" s="81">
        <f t="shared" si="7"/>
        <v>4.0285327591986739</v>
      </c>
      <c r="AQ14" s="81">
        <f t="shared" si="14"/>
        <v>2.7503999999999995</v>
      </c>
      <c r="AR14" s="112">
        <f t="shared" si="8"/>
        <v>187.47508261472814</v>
      </c>
      <c r="AS14" s="112">
        <f t="shared" si="9"/>
        <v>175.64372598058188</v>
      </c>
      <c r="AT14" s="112">
        <f t="shared" ref="AT14:AT27" si="25">AT13*(1+$B$7)</f>
        <v>151.89081126301556</v>
      </c>
    </row>
    <row r="15" spans="1:46" x14ac:dyDescent="0.3">
      <c r="A15" s="88"/>
      <c r="B15" s="98"/>
      <c r="C15" s="88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88"/>
      <c r="J15" s="117">
        <f t="shared" si="15"/>
        <v>46.008012161989285</v>
      </c>
      <c r="K15" s="146">
        <v>0.04</v>
      </c>
      <c r="L15" s="107">
        <f t="shared" si="0"/>
        <v>68.485056906377466</v>
      </c>
      <c r="M15" s="107">
        <f t="shared" si="1"/>
        <v>94.653302531085473</v>
      </c>
      <c r="N15" s="107">
        <v>4</v>
      </c>
      <c r="O15" s="107">
        <f t="shared" si="11"/>
        <v>6.3412089728127272</v>
      </c>
      <c r="P15" s="107"/>
      <c r="Q15" s="107"/>
      <c r="R15" s="107"/>
      <c r="S15" s="107"/>
      <c r="T15" s="107"/>
      <c r="U15" s="107">
        <f t="shared" si="2"/>
        <v>173.47956841027568</v>
      </c>
      <c r="V15" s="107">
        <v>38.4</v>
      </c>
      <c r="W15" s="107">
        <v>7</v>
      </c>
      <c r="X15" s="107"/>
      <c r="Y15" s="107">
        <v>5</v>
      </c>
      <c r="Z15" s="107">
        <f t="shared" ref="Z15:Z27" si="26">Z14*(1+$B$3)</f>
        <v>14.457956458013021</v>
      </c>
      <c r="AA15" s="107">
        <v>4.08</v>
      </c>
      <c r="AB15" s="107">
        <v>7.5</v>
      </c>
      <c r="AC15" s="107">
        <v>7.6</v>
      </c>
      <c r="AD15" s="107">
        <f t="shared" ref="AD15" si="27">AD14*(1+$B$3)</f>
        <v>6.1890199574652227</v>
      </c>
      <c r="AE15" s="107">
        <f t="shared" si="19"/>
        <v>4.8193188193376715</v>
      </c>
      <c r="AF15" s="107"/>
      <c r="AG15" s="107">
        <f t="shared" si="24"/>
        <v>24</v>
      </c>
      <c r="AH15" s="107">
        <f t="shared" si="12"/>
        <v>7.863099126287783</v>
      </c>
      <c r="AI15" s="107"/>
      <c r="AJ15" s="107"/>
      <c r="AK15" s="107"/>
      <c r="AL15" s="107">
        <f t="shared" si="5"/>
        <v>126.90939436110368</v>
      </c>
      <c r="AM15" s="110">
        <f t="shared" si="13"/>
        <v>46.570174049171996</v>
      </c>
      <c r="AN15" s="111">
        <f t="shared" si="6"/>
        <v>92.578186211161281</v>
      </c>
      <c r="AO15" s="88"/>
      <c r="AP15" s="81">
        <f t="shared" si="7"/>
        <v>4.1091034143826475</v>
      </c>
      <c r="AQ15" s="81">
        <f t="shared" si="14"/>
        <v>2.7503999999999995</v>
      </c>
      <c r="AR15" s="112">
        <f t="shared" si="8"/>
        <v>199.08318933369992</v>
      </c>
      <c r="AS15" s="112">
        <f t="shared" si="9"/>
        <v>185.41987501980518</v>
      </c>
      <c r="AT15" s="112">
        <f t="shared" si="25"/>
        <v>157.96644371353619</v>
      </c>
    </row>
    <row r="16" spans="1:46" x14ac:dyDescent="0.3">
      <c r="A16" s="88"/>
      <c r="B16" s="88"/>
      <c r="C16" s="88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88"/>
      <c r="J16" s="117">
        <f t="shared" si="15"/>
        <v>92.578186211161281</v>
      </c>
      <c r="K16" s="146">
        <v>0.04</v>
      </c>
      <c r="L16" s="107">
        <f t="shared" si="0"/>
        <v>69.854758044505019</v>
      </c>
      <c r="M16" s="107">
        <f t="shared" si="1"/>
        <v>95.599835556396329</v>
      </c>
      <c r="N16" s="107">
        <f t="shared" ref="N16:N53" si="28">J16*K16</f>
        <v>3.7031274484464514</v>
      </c>
      <c r="O16" s="107">
        <f t="shared" si="11"/>
        <v>6.4680331522689816</v>
      </c>
      <c r="P16" s="107"/>
      <c r="Q16" s="107"/>
      <c r="R16" s="107"/>
      <c r="S16" s="107"/>
      <c r="T16" s="107"/>
      <c r="U16" s="107">
        <f t="shared" si="2"/>
        <v>175.62575420161679</v>
      </c>
      <c r="V16" s="107">
        <v>38.4</v>
      </c>
      <c r="W16" s="107">
        <f>W15*(1+$B$3)</f>
        <v>7.1400000000000006</v>
      </c>
      <c r="X16" s="107"/>
      <c r="Y16" s="107">
        <f>Y15*(1+$B$3)</f>
        <v>5.0999999999999996</v>
      </c>
      <c r="Z16" s="107">
        <f t="shared" si="26"/>
        <v>14.747115587173282</v>
      </c>
      <c r="AA16" s="107">
        <v>4.08</v>
      </c>
      <c r="AB16" s="107">
        <v>7.8</v>
      </c>
      <c r="AC16" s="107">
        <v>7.6</v>
      </c>
      <c r="AD16" s="107">
        <f t="shared" ref="AD16" si="29">AD15*(1+$B$3)</f>
        <v>6.3128003566145274</v>
      </c>
      <c r="AE16" s="107">
        <f t="shared" si="19"/>
        <v>4.9157051957244251</v>
      </c>
      <c r="AF16" s="107"/>
      <c r="AG16" s="107">
        <f t="shared" si="24"/>
        <v>24</v>
      </c>
      <c r="AH16" s="107">
        <f t="shared" si="12"/>
        <v>8.0203611088135389</v>
      </c>
      <c r="AI16" s="107"/>
      <c r="AJ16" s="107"/>
      <c r="AK16" s="107"/>
      <c r="AL16" s="107">
        <f t="shared" si="5"/>
        <v>128.11598224832576</v>
      </c>
      <c r="AM16" s="110">
        <f t="shared" si="13"/>
        <v>47.509771953291022</v>
      </c>
      <c r="AN16" s="111">
        <f t="shared" si="6"/>
        <v>140.08795816445229</v>
      </c>
      <c r="AO16" s="88"/>
      <c r="AP16" s="81">
        <f t="shared" si="7"/>
        <v>4.1912854826703008</v>
      </c>
      <c r="AQ16" s="81">
        <f t="shared" si="14"/>
        <v>2.7503999999999995</v>
      </c>
      <c r="AR16" s="112">
        <f t="shared" si="8"/>
        <v>211.23780238971824</v>
      </c>
      <c r="AS16" s="112">
        <f t="shared" si="9"/>
        <v>195.58707002059739</v>
      </c>
      <c r="AT16" s="112">
        <f t="shared" si="25"/>
        <v>164.28510146207765</v>
      </c>
    </row>
    <row r="17" spans="1:46" x14ac:dyDescent="0.3">
      <c r="A17" s="88"/>
      <c r="B17" s="98"/>
      <c r="C17" s="88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88"/>
      <c r="J17" s="117">
        <f t="shared" si="15"/>
        <v>140.08795816445229</v>
      </c>
      <c r="K17" s="146">
        <v>0.04</v>
      </c>
      <c r="L17" s="107">
        <f t="shared" si="0"/>
        <v>71.251853205395122</v>
      </c>
      <c r="M17" s="107">
        <f t="shared" si="1"/>
        <v>96.555833911960292</v>
      </c>
      <c r="N17" s="107">
        <f t="shared" si="28"/>
        <v>5.6035183265780919</v>
      </c>
      <c r="O17" s="107">
        <f t="shared" si="11"/>
        <v>6.5973938153143612</v>
      </c>
      <c r="P17" s="107"/>
      <c r="Q17" s="107"/>
      <c r="R17" s="107"/>
      <c r="S17" s="107"/>
      <c r="T17" s="107"/>
      <c r="U17" s="107">
        <f t="shared" si="2"/>
        <v>180.00859925924786</v>
      </c>
      <c r="V17" s="107">
        <v>38.4</v>
      </c>
      <c r="W17" s="107">
        <f t="shared" si="17"/>
        <v>7.2828000000000008</v>
      </c>
      <c r="X17" s="107"/>
      <c r="Y17" s="107">
        <f>Y16*(1+$B$3)</f>
        <v>5.202</v>
      </c>
      <c r="Z17" s="107">
        <f t="shared" si="26"/>
        <v>15.042057898916747</v>
      </c>
      <c r="AA17" s="107">
        <v>4.08</v>
      </c>
      <c r="AB17" s="107">
        <v>8</v>
      </c>
      <c r="AC17" s="107">
        <v>7.6</v>
      </c>
      <c r="AD17" s="107">
        <f t="shared" ref="AD17" si="30">AD16*(1+$B$3)</f>
        <v>6.4390563637468183</v>
      </c>
      <c r="AE17" s="107">
        <f t="shared" si="19"/>
        <v>5.0140192996389139</v>
      </c>
      <c r="AF17" s="107"/>
      <c r="AG17" s="107">
        <f t="shared" si="24"/>
        <v>24</v>
      </c>
      <c r="AH17" s="107">
        <f t="shared" si="12"/>
        <v>8.1807683309898103</v>
      </c>
      <c r="AI17" s="107"/>
      <c r="AJ17" s="107"/>
      <c r="AK17" s="107"/>
      <c r="AL17" s="107">
        <f t="shared" si="5"/>
        <v>129.24070189329228</v>
      </c>
      <c r="AM17" s="110">
        <f t="shared" si="13"/>
        <v>50.767897365955577</v>
      </c>
      <c r="AN17" s="111">
        <f t="shared" si="6"/>
        <v>190.85585553040787</v>
      </c>
      <c r="AO17" s="88"/>
      <c r="AP17" s="81">
        <f t="shared" si="7"/>
        <v>4.2751111923237071</v>
      </c>
      <c r="AQ17" s="81">
        <f t="shared" si="14"/>
        <v>2.7503999999999995</v>
      </c>
      <c r="AR17" s="112">
        <f t="shared" si="8"/>
        <v>223.9624256776307</v>
      </c>
      <c r="AS17" s="112">
        <f t="shared" si="9"/>
        <v>206.16095282142132</v>
      </c>
      <c r="AT17" s="112">
        <f t="shared" si="25"/>
        <v>170.85650552056077</v>
      </c>
    </row>
    <row r="18" spans="1:46" x14ac:dyDescent="0.3">
      <c r="A18" s="88"/>
      <c r="B18" s="98"/>
      <c r="C18" s="88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88"/>
      <c r="J18" s="117">
        <f t="shared" si="15"/>
        <v>190.85585553040787</v>
      </c>
      <c r="K18" s="146">
        <v>0.04</v>
      </c>
      <c r="L18" s="107">
        <f t="shared" si="0"/>
        <v>72.676890269503019</v>
      </c>
      <c r="M18" s="107">
        <f t="shared" si="1"/>
        <v>97.521392251079902</v>
      </c>
      <c r="N18" s="107">
        <f t="shared" si="28"/>
        <v>7.6342342212163148</v>
      </c>
      <c r="O18" s="107">
        <f t="shared" si="11"/>
        <v>6.7293416916206485</v>
      </c>
      <c r="P18" s="107"/>
      <c r="Q18" s="107"/>
      <c r="R18" s="107"/>
      <c r="S18" s="107"/>
      <c r="T18" s="107"/>
      <c r="U18" s="107">
        <f t="shared" si="2"/>
        <v>184.56185843341987</v>
      </c>
      <c r="V18" s="107">
        <v>38.4</v>
      </c>
      <c r="W18" s="107">
        <f t="shared" si="17"/>
        <v>7.4284560000000006</v>
      </c>
      <c r="X18" s="107"/>
      <c r="Y18" s="107">
        <f>Y17*(1+$B$3)</f>
        <v>5.3060400000000003</v>
      </c>
      <c r="Z18" s="107">
        <f t="shared" si="26"/>
        <v>15.342899056895082</v>
      </c>
      <c r="AA18" s="107">
        <v>4.08</v>
      </c>
      <c r="AB18" s="107">
        <v>8.3000000000000007</v>
      </c>
      <c r="AC18" s="107">
        <v>7.6</v>
      </c>
      <c r="AD18" s="107">
        <f t="shared" ref="AD18" si="31">AD17*(1+$B$3)</f>
        <v>6.5678374910217547</v>
      </c>
      <c r="AE18" s="107">
        <f t="shared" si="19"/>
        <v>5.1142996856316927</v>
      </c>
      <c r="AF18" s="107"/>
      <c r="AG18" s="107">
        <f t="shared" si="24"/>
        <v>24</v>
      </c>
      <c r="AH18" s="107">
        <f t="shared" si="12"/>
        <v>8.3443836976096062</v>
      </c>
      <c r="AI18" s="107"/>
      <c r="AJ18" s="107"/>
      <c r="AK18" s="107"/>
      <c r="AL18" s="107">
        <f t="shared" si="5"/>
        <v>130.48391593115812</v>
      </c>
      <c r="AM18" s="110">
        <f t="shared" si="13"/>
        <v>54.077942502261749</v>
      </c>
      <c r="AN18" s="111">
        <f t="shared" si="6"/>
        <v>244.93379803266961</v>
      </c>
      <c r="AO18" s="88"/>
      <c r="AP18" s="81">
        <f t="shared" si="7"/>
        <v>4.3606134161701808</v>
      </c>
      <c r="AQ18" s="81">
        <f t="shared" si="14"/>
        <v>2.7503999999999995</v>
      </c>
      <c r="AR18" s="112">
        <f t="shared" si="8"/>
        <v>237.28153612090611</v>
      </c>
      <c r="AS18" s="112">
        <f t="shared" si="9"/>
        <v>217.15779093427818</v>
      </c>
      <c r="AT18" s="112">
        <f t="shared" si="25"/>
        <v>177.69076574138322</v>
      </c>
    </row>
    <row r="19" spans="1:46" x14ac:dyDescent="0.3">
      <c r="A19" s="88"/>
      <c r="B19" s="98"/>
      <c r="C19" s="88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88"/>
      <c r="J19" s="117">
        <f t="shared" si="15"/>
        <v>244.93379803266961</v>
      </c>
      <c r="K19" s="146">
        <v>0.04</v>
      </c>
      <c r="L19" s="107">
        <f t="shared" si="0"/>
        <v>74.130428074893075</v>
      </c>
      <c r="M19" s="107">
        <f t="shared" si="1"/>
        <v>98.496606173590706</v>
      </c>
      <c r="N19" s="107">
        <f t="shared" si="28"/>
        <v>9.7973519213067846</v>
      </c>
      <c r="O19" s="107">
        <f t="shared" si="11"/>
        <v>6.863928525453062</v>
      </c>
      <c r="P19" s="107"/>
      <c r="Q19" s="107"/>
      <c r="R19" s="107"/>
      <c r="S19" s="107"/>
      <c r="T19" s="107"/>
      <c r="U19" s="107">
        <f t="shared" si="2"/>
        <v>189.28831469524363</v>
      </c>
      <c r="V19" s="107"/>
      <c r="W19" s="107">
        <f t="shared" si="17"/>
        <v>7.5770251200000009</v>
      </c>
      <c r="X19" s="107"/>
      <c r="Y19" s="107">
        <f>Y18*(1+$B$3)</f>
        <v>5.4121608000000005</v>
      </c>
      <c r="Z19" s="107">
        <f t="shared" si="26"/>
        <v>15.649757038032984</v>
      </c>
      <c r="AA19" s="107">
        <v>4.08</v>
      </c>
      <c r="AB19" s="107">
        <v>8.5</v>
      </c>
      <c r="AC19" s="107">
        <v>7.6</v>
      </c>
      <c r="AD19" s="107">
        <f t="shared" ref="AD19" si="32">AD18*(1+$B$3)</f>
        <v>6.6991942408421901</v>
      </c>
      <c r="AE19" s="107">
        <f t="shared" si="19"/>
        <v>5.2165856793443268</v>
      </c>
      <c r="AF19" s="107"/>
      <c r="AG19" s="107">
        <f t="shared" si="24"/>
        <v>24</v>
      </c>
      <c r="AH19" s="107">
        <f t="shared" si="12"/>
        <v>8.5112713715617989</v>
      </c>
      <c r="AI19" s="107"/>
      <c r="AJ19" s="107"/>
      <c r="AK19" s="107"/>
      <c r="AL19" s="107">
        <f t="shared" si="5"/>
        <v>93.245994249781305</v>
      </c>
      <c r="AM19" s="110">
        <f t="shared" si="13"/>
        <v>96.042320445462323</v>
      </c>
      <c r="AN19" s="111">
        <f t="shared" si="6"/>
        <v>340.97611847813192</v>
      </c>
      <c r="AO19" s="88"/>
      <c r="AP19" s="81">
        <f t="shared" si="7"/>
        <v>4.4478256844935844</v>
      </c>
      <c r="AQ19" s="81">
        <f t="shared" si="14"/>
        <v>2.7503999999999995</v>
      </c>
      <c r="AR19" s="112">
        <f t="shared" si="8"/>
        <v>251.22062325023595</v>
      </c>
      <c r="AS19" s="112">
        <f t="shared" si="9"/>
        <v>228.59450257164934</v>
      </c>
      <c r="AT19" s="112">
        <f t="shared" si="25"/>
        <v>184.79839637103856</v>
      </c>
    </row>
    <row r="20" spans="1:46" x14ac:dyDescent="0.3">
      <c r="A20" s="88"/>
      <c r="B20" s="98"/>
      <c r="C20" s="88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88"/>
      <c r="J20" s="117">
        <f t="shared" si="15"/>
        <v>340.97611847813192</v>
      </c>
      <c r="K20" s="146">
        <v>0.04</v>
      </c>
      <c r="L20" s="107">
        <f t="shared" si="0"/>
        <v>75.613036636390945</v>
      </c>
      <c r="M20" s="107">
        <f t="shared" si="1"/>
        <v>99.48157223532661</v>
      </c>
      <c r="N20" s="107">
        <f t="shared" si="28"/>
        <v>13.639044739125277</v>
      </c>
      <c r="O20" s="107">
        <f t="shared" si="11"/>
        <v>7.0012070959621235</v>
      </c>
      <c r="P20" s="107"/>
      <c r="Q20" s="107"/>
      <c r="R20" s="107"/>
      <c r="S20" s="107"/>
      <c r="T20" s="107"/>
      <c r="U20" s="107">
        <f t="shared" si="2"/>
        <v>195.73486070680494</v>
      </c>
      <c r="V20" s="107"/>
      <c r="W20" s="107">
        <f t="shared" si="17"/>
        <v>7.7285656224000014</v>
      </c>
      <c r="X20" s="107"/>
      <c r="Y20" s="107">
        <f>Y19*(1+$B$3)</f>
        <v>5.5204040160000005</v>
      </c>
      <c r="Z20" s="107">
        <f t="shared" si="26"/>
        <v>15.962752178793645</v>
      </c>
      <c r="AA20" s="107">
        <v>4.08</v>
      </c>
      <c r="AB20" s="107">
        <v>8.8000000000000007</v>
      </c>
      <c r="AC20" s="107">
        <v>7.6</v>
      </c>
      <c r="AD20" s="107">
        <f t="shared" ref="AD20" si="33">AD19*(1+$B$3)</f>
        <v>6.8331781256590336</v>
      </c>
      <c r="AE20" s="107">
        <f t="shared" si="19"/>
        <v>5.3209173929312135</v>
      </c>
      <c r="AF20" s="107"/>
      <c r="AG20" s="107">
        <f t="shared" si="24"/>
        <v>24</v>
      </c>
      <c r="AH20" s="107">
        <f t="shared" si="12"/>
        <v>8.6814967989930345</v>
      </c>
      <c r="AI20" s="107"/>
      <c r="AJ20" s="107"/>
      <c r="AK20" s="107"/>
      <c r="AL20" s="107">
        <f t="shared" si="5"/>
        <v>94.52731413477693</v>
      </c>
      <c r="AM20" s="110">
        <f t="shared" si="13"/>
        <v>101.20754657202801</v>
      </c>
      <c r="AN20" s="111">
        <f t="shared" si="6"/>
        <v>442.1836650501599</v>
      </c>
      <c r="AO20" s="88"/>
      <c r="AP20" s="81">
        <f t="shared" si="7"/>
        <v>4.5367821981834568</v>
      </c>
      <c r="AQ20" s="81">
        <f t="shared" si="14"/>
        <v>2.7503999999999995</v>
      </c>
      <c r="AR20" s="112">
        <f t="shared" si="8"/>
        <v>265.80623037842884</v>
      </c>
      <c r="AS20" s="112">
        <f t="shared" si="9"/>
        <v>240.48868267451533</v>
      </c>
      <c r="AT20" s="112">
        <f t="shared" si="25"/>
        <v>192.19033222588013</v>
      </c>
    </row>
    <row r="21" spans="1:46" x14ac:dyDescent="0.3">
      <c r="A21" s="88"/>
      <c r="B21" s="98"/>
      <c r="C21" s="88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88"/>
      <c r="J21" s="117">
        <f t="shared" si="15"/>
        <v>442.1836650501599</v>
      </c>
      <c r="K21" s="146">
        <v>0.04</v>
      </c>
      <c r="L21" s="107">
        <f t="shared" si="0"/>
        <v>77.125297369118769</v>
      </c>
      <c r="M21" s="107">
        <f t="shared" si="1"/>
        <v>100.47638795767988</v>
      </c>
      <c r="N21" s="107">
        <f t="shared" si="28"/>
        <v>17.687346602006397</v>
      </c>
      <c r="O21" s="107">
        <f t="shared" ref="O21:Q36" si="34">O20*(1+$B$3)</f>
        <v>7.1412312378813665</v>
      </c>
      <c r="P21" s="107"/>
      <c r="Q21" s="107"/>
      <c r="R21" s="107"/>
      <c r="S21" s="107"/>
      <c r="T21" s="107"/>
      <c r="U21" s="107">
        <f t="shared" si="2"/>
        <v>202.43026316668639</v>
      </c>
      <c r="V21" s="107"/>
      <c r="W21" s="107">
        <v>8</v>
      </c>
      <c r="X21" s="107"/>
      <c r="Y21" s="107">
        <v>6</v>
      </c>
      <c r="Z21" s="107">
        <f t="shared" si="26"/>
        <v>16.282007222369518</v>
      </c>
      <c r="AA21" s="107">
        <v>4.08</v>
      </c>
      <c r="AB21" s="107">
        <v>9.1</v>
      </c>
      <c r="AC21" s="107">
        <v>7.6</v>
      </c>
      <c r="AD21" s="107">
        <f t="shared" ref="AD21" si="35">AD20*(1+$B$3)</f>
        <v>6.9698416881722141</v>
      </c>
      <c r="AE21" s="107">
        <f t="shared" si="19"/>
        <v>5.4273357407898377</v>
      </c>
      <c r="AF21" s="107"/>
      <c r="AG21" s="107">
        <f t="shared" si="24"/>
        <v>24</v>
      </c>
      <c r="AH21" s="107">
        <f t="shared" si="12"/>
        <v>8.8551267349728953</v>
      </c>
      <c r="AI21" s="107"/>
      <c r="AJ21" s="107"/>
      <c r="AK21" s="107"/>
      <c r="AL21" s="107">
        <f t="shared" si="5"/>
        <v>96.314311386304482</v>
      </c>
      <c r="AM21" s="110">
        <f t="shared" si="13"/>
        <v>106.11595178038191</v>
      </c>
      <c r="AN21" s="111">
        <f t="shared" si="6"/>
        <v>548.29961683054182</v>
      </c>
      <c r="AO21" s="88"/>
      <c r="AP21" s="81">
        <f t="shared" si="7"/>
        <v>4.6275178421471264</v>
      </c>
      <c r="AQ21" s="81">
        <f t="shared" si="14"/>
        <v>2.7503999999999995</v>
      </c>
      <c r="AR21" s="112">
        <f t="shared" si="8"/>
        <v>281.06599743571314</v>
      </c>
      <c r="AS21" s="112">
        <f t="shared" si="9"/>
        <v>252.85862998149597</v>
      </c>
      <c r="AT21" s="112">
        <f t="shared" si="25"/>
        <v>199.87794551491533</v>
      </c>
    </row>
    <row r="22" spans="1:46" x14ac:dyDescent="0.3">
      <c r="A22" s="88"/>
      <c r="B22" s="98"/>
      <c r="C22" s="88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J22" s="117">
        <f t="shared" si="15"/>
        <v>548.29961683054182</v>
      </c>
      <c r="K22" s="146">
        <v>0.04</v>
      </c>
      <c r="L22" s="107">
        <f t="shared" si="0"/>
        <v>78.66780331650115</v>
      </c>
      <c r="M22" s="107">
        <f t="shared" si="1"/>
        <v>101.48115183725668</v>
      </c>
      <c r="N22" s="107">
        <f t="shared" si="28"/>
        <v>21.931984673221674</v>
      </c>
      <c r="O22" s="107">
        <f t="shared" si="34"/>
        <v>7.2840558626389935</v>
      </c>
      <c r="P22" s="107"/>
      <c r="Q22" s="107"/>
      <c r="R22" s="107"/>
      <c r="S22" s="107"/>
      <c r="T22" s="107"/>
      <c r="U22" s="107">
        <f t="shared" si="2"/>
        <v>209.36499568961847</v>
      </c>
      <c r="V22" s="107"/>
      <c r="W22" s="107">
        <f>W21*(1+$B$3)</f>
        <v>8.16</v>
      </c>
      <c r="X22" s="107"/>
      <c r="Y22" s="107">
        <f>Y21*(1+$B$3)</f>
        <v>6.12</v>
      </c>
      <c r="Z22" s="107">
        <f t="shared" si="26"/>
        <v>16.607647366816909</v>
      </c>
      <c r="AA22" s="107">
        <v>4.08</v>
      </c>
      <c r="AB22" s="107">
        <v>9.4</v>
      </c>
      <c r="AC22" s="107">
        <v>7.6</v>
      </c>
      <c r="AD22" s="107">
        <f t="shared" ref="AD22" si="36">AD21*(1+$B$3)</f>
        <v>7.1092385219356586</v>
      </c>
      <c r="AE22" s="107">
        <f t="shared" si="19"/>
        <v>5.535882455605635</v>
      </c>
      <c r="AF22" s="107"/>
      <c r="AG22" s="107">
        <f t="shared" si="24"/>
        <v>24</v>
      </c>
      <c r="AH22" s="107">
        <f t="shared" si="12"/>
        <v>9.032229269672353</v>
      </c>
      <c r="AI22" s="107"/>
      <c r="AJ22" s="107"/>
      <c r="AK22" s="107"/>
      <c r="AL22" s="107">
        <f t="shared" si="5"/>
        <v>97.644997614030558</v>
      </c>
      <c r="AM22" s="110">
        <f t="shared" si="13"/>
        <v>111.71999807558791</v>
      </c>
      <c r="AN22" s="111">
        <f t="shared" si="6"/>
        <v>660.01961490612973</v>
      </c>
      <c r="AO22" s="88"/>
      <c r="AP22" s="81">
        <f t="shared" si="7"/>
        <v>4.7200681989900692</v>
      </c>
      <c r="AQ22" s="81">
        <f t="shared" si="14"/>
        <v>2.7503999999999995</v>
      </c>
      <c r="AR22" s="112">
        <f t="shared" si="8"/>
        <v>297.02870553213177</v>
      </c>
      <c r="AS22" s="112">
        <f t="shared" si="9"/>
        <v>265.72337518075585</v>
      </c>
      <c r="AT22" s="112">
        <f t="shared" si="25"/>
        <v>207.87306333551194</v>
      </c>
    </row>
    <row r="23" spans="1:46" ht="14.5" x14ac:dyDescent="0.3">
      <c r="A23" s="88"/>
      <c r="B23" s="98"/>
      <c r="C23" s="88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88" t="s">
        <v>344</v>
      </c>
      <c r="J23" s="117">
        <f t="shared" si="15"/>
        <v>660.01961490612973</v>
      </c>
      <c r="K23" s="146">
        <v>0.04</v>
      </c>
      <c r="L23" s="107">
        <f t="shared" si="0"/>
        <v>80.241159382831171</v>
      </c>
      <c r="M23" s="107">
        <f t="shared" si="1"/>
        <v>102.49596335562924</v>
      </c>
      <c r="N23" s="107">
        <f t="shared" si="28"/>
        <v>26.400784596245188</v>
      </c>
      <c r="O23" s="107">
        <f t="shared" si="34"/>
        <v>7.4297369798917732</v>
      </c>
      <c r="P23" s="107"/>
      <c r="Q23" s="107"/>
      <c r="R23" s="107"/>
      <c r="S23" s="107"/>
      <c r="T23" s="107"/>
      <c r="U23" s="107">
        <f t="shared" si="2"/>
        <v>216.56764431459737</v>
      </c>
      <c r="V23" s="107"/>
      <c r="W23" s="107">
        <f t="shared" si="17"/>
        <v>8.3231999999999999</v>
      </c>
      <c r="X23" s="107"/>
      <c r="Y23" s="107">
        <f>Y22*(1+$B$3)</f>
        <v>6.2423999999999999</v>
      </c>
      <c r="Z23" s="107">
        <f t="shared" si="26"/>
        <v>16.939800314153249</v>
      </c>
      <c r="AA23" s="107">
        <v>4.08</v>
      </c>
      <c r="AB23" s="107">
        <v>9.6999999999999993</v>
      </c>
      <c r="AC23" s="107">
        <v>7.6</v>
      </c>
      <c r="AD23" s="107">
        <f t="shared" ref="AD23" si="37">AD22*(1+$B$3)</f>
        <v>7.2514232923743718</v>
      </c>
      <c r="AE23" s="107">
        <f t="shared" si="19"/>
        <v>5.6466001047177476</v>
      </c>
      <c r="AF23" s="107"/>
      <c r="AG23" s="107">
        <f t="shared" si="24"/>
        <v>24</v>
      </c>
      <c r="AH23" s="107">
        <f t="shared" si="12"/>
        <v>9.2128738550657996</v>
      </c>
      <c r="AI23" s="107"/>
      <c r="AJ23" s="107">
        <f>理財目標費用終值!D14</f>
        <v>104.0163177184848</v>
      </c>
      <c r="AK23" s="107"/>
      <c r="AL23" s="107">
        <f t="shared" si="5"/>
        <v>203.01261528479597</v>
      </c>
      <c r="AM23" s="110">
        <f t="shared" si="13"/>
        <v>13.555029029801403</v>
      </c>
      <c r="AN23" s="111">
        <f t="shared" si="6"/>
        <v>673.57464393593114</v>
      </c>
      <c r="AO23" s="88"/>
      <c r="AP23" s="81">
        <f t="shared" si="7"/>
        <v>4.8144695629698697</v>
      </c>
      <c r="AQ23" s="81">
        <f t="shared" si="14"/>
        <v>2.7503999999999995</v>
      </c>
      <c r="AR23" s="112">
        <f t="shared" si="8"/>
        <v>313.72432331638691</v>
      </c>
      <c r="AS23" s="112">
        <f t="shared" si="9"/>
        <v>279.10271018798613</v>
      </c>
      <c r="AT23" s="112">
        <f t="shared" si="25"/>
        <v>216.18798586893243</v>
      </c>
    </row>
    <row r="24" spans="1:46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J24" s="117">
        <f t="shared" si="15"/>
        <v>673.57464393593114</v>
      </c>
      <c r="K24" s="146">
        <v>0.04</v>
      </c>
      <c r="L24" s="107">
        <f t="shared" si="0"/>
        <v>81.845982570487791</v>
      </c>
      <c r="M24" s="107">
        <f t="shared" si="1"/>
        <v>103.52092298918554</v>
      </c>
      <c r="N24" s="107">
        <f t="shared" si="28"/>
        <v>26.942985757437246</v>
      </c>
      <c r="O24" s="107">
        <f t="shared" si="34"/>
        <v>7.5783317194896087</v>
      </c>
      <c r="P24" s="107"/>
      <c r="Q24" s="107"/>
      <c r="R24" s="107"/>
      <c r="S24" s="112"/>
      <c r="T24" s="112"/>
      <c r="U24" s="107">
        <f t="shared" si="2"/>
        <v>219.88822303660018</v>
      </c>
      <c r="V24" s="112"/>
      <c r="W24" s="107">
        <f t="shared" si="17"/>
        <v>8.4896639999999994</v>
      </c>
      <c r="X24" s="112"/>
      <c r="Y24" s="107">
        <f>Y23*(1+$B$3)</f>
        <v>6.367248</v>
      </c>
      <c r="Z24" s="107">
        <f t="shared" si="26"/>
        <v>17.278596320436314</v>
      </c>
      <c r="AA24" s="107">
        <v>4.08</v>
      </c>
      <c r="AB24" s="107">
        <v>10</v>
      </c>
      <c r="AC24" s="107">
        <v>6.4</v>
      </c>
      <c r="AD24" s="107">
        <f t="shared" ref="AD24" si="38">AD23*(1+$B$3)</f>
        <v>7.3964517582218594</v>
      </c>
      <c r="AE24" s="107">
        <f t="shared" si="19"/>
        <v>5.7595321068121024</v>
      </c>
      <c r="AF24" s="112"/>
      <c r="AG24" s="107"/>
      <c r="AH24" s="112"/>
      <c r="AI24" s="112"/>
      <c r="AJ24" s="112"/>
      <c r="AK24" s="112"/>
      <c r="AL24" s="107">
        <f t="shared" si="5"/>
        <v>65.771492185470265</v>
      </c>
      <c r="AM24" s="110">
        <f t="shared" si="13"/>
        <v>154.11673085112992</v>
      </c>
      <c r="AN24" s="111">
        <f t="shared" si="6"/>
        <v>827.69137478706102</v>
      </c>
      <c r="AP24" s="81">
        <f t="shared" si="7"/>
        <v>4.9107589542292676</v>
      </c>
      <c r="AQ24" s="81">
        <f t="shared" si="14"/>
        <v>2.7503999999999995</v>
      </c>
      <c r="AR24" s="112">
        <f t="shared" si="8"/>
        <v>331.18405520327167</v>
      </c>
      <c r="AS24" s="112">
        <f t="shared" si="9"/>
        <v>293.0172185955056</v>
      </c>
      <c r="AT24" s="112">
        <f t="shared" si="25"/>
        <v>224.83550530368973</v>
      </c>
    </row>
    <row r="25" spans="1:46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J25" s="117">
        <f t="shared" si="15"/>
        <v>827.69137478706102</v>
      </c>
      <c r="K25" s="146">
        <v>0.04</v>
      </c>
      <c r="L25" s="107">
        <f t="shared" si="0"/>
        <v>83.482902221897547</v>
      </c>
      <c r="M25" s="107">
        <f t="shared" si="1"/>
        <v>104.5561322190774</v>
      </c>
      <c r="N25" s="107">
        <f t="shared" si="28"/>
        <v>33.107654991482441</v>
      </c>
      <c r="O25" s="107">
        <f t="shared" si="34"/>
        <v>7.7298983538794008</v>
      </c>
      <c r="P25" s="107"/>
      <c r="Q25" s="107"/>
      <c r="R25" s="107"/>
      <c r="S25" s="112"/>
      <c r="T25" s="112"/>
      <c r="U25" s="107">
        <f t="shared" si="2"/>
        <v>228.87658778633678</v>
      </c>
      <c r="V25" s="112"/>
      <c r="W25" s="107">
        <f t="shared" si="17"/>
        <v>8.6594572799999998</v>
      </c>
      <c r="X25" s="112"/>
      <c r="Y25" s="107">
        <f>Y24*(1+$B$3)</f>
        <v>6.4945929600000003</v>
      </c>
      <c r="Z25" s="107">
        <f t="shared" si="26"/>
        <v>17.624168246845041</v>
      </c>
      <c r="AA25" s="107">
        <v>4.08</v>
      </c>
      <c r="AB25" s="107">
        <v>10.3</v>
      </c>
      <c r="AC25" s="107">
        <v>6.4</v>
      </c>
      <c r="AD25" s="107">
        <f t="shared" ref="AD25" si="39">AD24*(1+$B$3)</f>
        <v>7.5443807933862965</v>
      </c>
      <c r="AE25" s="107">
        <f t="shared" si="19"/>
        <v>5.8747227489483445</v>
      </c>
      <c r="AF25" s="112"/>
      <c r="AG25" s="112"/>
      <c r="AH25" s="112"/>
      <c r="AI25" s="112"/>
      <c r="AJ25" s="112"/>
      <c r="AK25" s="112"/>
      <c r="AL25" s="107">
        <f t="shared" si="5"/>
        <v>66.977322029179689</v>
      </c>
      <c r="AM25" s="110">
        <f t="shared" si="13"/>
        <v>161.89926575715708</v>
      </c>
      <c r="AN25" s="111">
        <f t="shared" si="6"/>
        <v>989.5906405442181</v>
      </c>
      <c r="AP25" s="81">
        <f t="shared" si="7"/>
        <v>5.0089741333138527</v>
      </c>
      <c r="AQ25" s="81">
        <f t="shared" si="14"/>
        <v>2.7503999999999995</v>
      </c>
      <c r="AR25" s="112">
        <f t="shared" si="8"/>
        <v>349.44039154471642</v>
      </c>
      <c r="AS25" s="112">
        <f t="shared" si="9"/>
        <v>307.48830733932584</v>
      </c>
      <c r="AT25" s="112">
        <f t="shared" si="25"/>
        <v>233.82892551583731</v>
      </c>
    </row>
    <row r="26" spans="1:46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J26" s="117">
        <f t="shared" si="15"/>
        <v>989.5906405442181</v>
      </c>
      <c r="K26" s="146">
        <v>0.04</v>
      </c>
      <c r="L26" s="107">
        <f t="shared" si="0"/>
        <v>85.152560266335499</v>
      </c>
      <c r="M26" s="107">
        <f t="shared" si="1"/>
        <v>105.60169354126818</v>
      </c>
      <c r="N26" s="107">
        <f t="shared" si="28"/>
        <v>39.583625621768725</v>
      </c>
      <c r="O26" s="107">
        <f t="shared" si="34"/>
        <v>7.8844963209569894</v>
      </c>
      <c r="P26" s="107"/>
      <c r="Q26" s="107"/>
      <c r="R26" s="107"/>
      <c r="S26" s="112"/>
      <c r="T26" s="112"/>
      <c r="U26" s="107">
        <f t="shared" si="2"/>
        <v>238.22237575032941</v>
      </c>
      <c r="V26" s="112"/>
      <c r="W26" s="107">
        <f t="shared" si="17"/>
        <v>8.8326464256000001</v>
      </c>
      <c r="X26" s="112"/>
      <c r="Y26" s="107">
        <f>Y25*(1+$B$3)</f>
        <v>6.6244848192000001</v>
      </c>
      <c r="Z26" s="107">
        <f t="shared" si="26"/>
        <v>17.976651611781943</v>
      </c>
      <c r="AA26" s="107">
        <v>4.08</v>
      </c>
      <c r="AB26" s="107">
        <v>10.6</v>
      </c>
      <c r="AC26" s="107">
        <v>6.4</v>
      </c>
      <c r="AD26" s="107">
        <f t="shared" ref="AD26" si="40">AD25*(1+$B$3)</f>
        <v>7.6952684092540222</v>
      </c>
      <c r="AE26" s="107">
        <f t="shared" ref="AE26:AE27" si="41">AE25*(1+$B$3)</f>
        <v>5.9922172039273116</v>
      </c>
      <c r="AF26" s="112"/>
      <c r="AG26" s="112"/>
      <c r="AH26" s="112"/>
      <c r="AI26" s="112"/>
      <c r="AJ26" s="112"/>
      <c r="AK26" s="112"/>
      <c r="AL26" s="107">
        <f t="shared" si="5"/>
        <v>68.201268469763278</v>
      </c>
      <c r="AM26" s="110">
        <f t="shared" si="13"/>
        <v>170.02110728056613</v>
      </c>
      <c r="AN26" s="111">
        <f t="shared" si="6"/>
        <v>1159.6117478247843</v>
      </c>
      <c r="AP26" s="81">
        <f t="shared" si="7"/>
        <v>5.1091536159801301</v>
      </c>
      <c r="AQ26" s="81">
        <f t="shared" si="14"/>
        <v>2.7503999999999995</v>
      </c>
      <c r="AR26" s="112">
        <f t="shared" si="8"/>
        <v>368.5271608224852</v>
      </c>
      <c r="AS26" s="112">
        <f t="shared" si="9"/>
        <v>322.53823963289892</v>
      </c>
      <c r="AT26" s="112">
        <f t="shared" si="25"/>
        <v>243.1820825364708</v>
      </c>
    </row>
    <row r="27" spans="1:46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J27" s="117">
        <f t="shared" si="15"/>
        <v>1159.6117478247843</v>
      </c>
      <c r="K27" s="146">
        <v>0.04</v>
      </c>
      <c r="L27" s="107">
        <f t="shared" si="0"/>
        <v>86.855611471662215</v>
      </c>
      <c r="M27" s="107">
        <f t="shared" si="1"/>
        <v>106.65771047668086</v>
      </c>
      <c r="N27" s="107">
        <f t="shared" si="28"/>
        <v>46.384469912991371</v>
      </c>
      <c r="O27" s="107">
        <f t="shared" si="34"/>
        <v>8.0421862473761294</v>
      </c>
      <c r="P27" s="107"/>
      <c r="Q27" s="107"/>
      <c r="R27" s="107"/>
      <c r="S27" s="112"/>
      <c r="T27" s="112"/>
      <c r="U27" s="107">
        <f t="shared" si="2"/>
        <v>247.93997810871056</v>
      </c>
      <c r="V27" s="112"/>
      <c r="W27" s="107">
        <v>9</v>
      </c>
      <c r="X27" s="112"/>
      <c r="Y27" s="107">
        <v>7</v>
      </c>
      <c r="Z27" s="107">
        <f t="shared" si="26"/>
        <v>18.336184644017582</v>
      </c>
      <c r="AA27" s="107">
        <v>4.08</v>
      </c>
      <c r="AB27" s="107">
        <v>10.9</v>
      </c>
      <c r="AC27" s="107">
        <v>6.4</v>
      </c>
      <c r="AD27" s="107">
        <f t="shared" ref="AD27" si="42">AD26*(1+$B$3)</f>
        <v>7.8491737774391028</v>
      </c>
      <c r="AE27" s="107">
        <f t="shared" si="41"/>
        <v>6.1120615480058582</v>
      </c>
      <c r="AF27" s="112"/>
      <c r="AG27" s="112"/>
      <c r="AH27" s="112"/>
      <c r="AI27" s="112"/>
      <c r="AJ27" s="112"/>
      <c r="AK27" s="112"/>
      <c r="AL27" s="107">
        <f t="shared" si="5"/>
        <v>69.677419969462534</v>
      </c>
      <c r="AM27" s="110">
        <f t="shared" si="13"/>
        <v>178.26255813924803</v>
      </c>
      <c r="AN27" s="111">
        <f t="shared" si="6"/>
        <v>1337.8743059640324</v>
      </c>
      <c r="AP27" s="82">
        <f t="shared" si="7"/>
        <v>5.211336688299733</v>
      </c>
      <c r="AQ27" s="82">
        <f t="shared" si="14"/>
        <v>2.7503999999999995</v>
      </c>
      <c r="AR27" s="113">
        <f t="shared" si="8"/>
        <v>388.47958394368436</v>
      </c>
      <c r="AS27" s="113">
        <f t="shared" si="9"/>
        <v>338.19016921821492</v>
      </c>
      <c r="AT27" s="113">
        <f t="shared" si="25"/>
        <v>252.90936583792964</v>
      </c>
    </row>
    <row r="28" spans="1:46" ht="14.5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s="9" t="s">
        <v>345</v>
      </c>
      <c r="J28" s="117">
        <f t="shared" si="15"/>
        <v>1337.8743059640324</v>
      </c>
      <c r="K28" s="146">
        <v>0.02</v>
      </c>
      <c r="L28" s="112"/>
      <c r="M28" s="112"/>
      <c r="N28" s="107">
        <f t="shared" si="28"/>
        <v>26.757486119280649</v>
      </c>
      <c r="O28" s="107">
        <f t="shared" si="34"/>
        <v>8.2030299723236517</v>
      </c>
      <c r="P28" s="112">
        <f>個案背景設定!E3</f>
        <v>34.927080000000004</v>
      </c>
      <c r="Q28" s="107">
        <f>個案背景設定!E4</f>
        <v>29.131319999999995</v>
      </c>
      <c r="R28" s="107">
        <f>PMT(0.01/12,20*12,-AR27,,1)*12</f>
        <v>21.421294804000734</v>
      </c>
      <c r="S28" s="107">
        <f>PMT(0.01/12,20*12,-AS27,,1)*12</f>
        <v>18.648267795942825</v>
      </c>
      <c r="T28" s="107">
        <f>AT27</f>
        <v>252.90936583792964</v>
      </c>
      <c r="U28" s="107">
        <f t="shared" si="2"/>
        <v>391.9978445294775</v>
      </c>
      <c r="V28" s="112"/>
      <c r="W28" s="107"/>
      <c r="X28" s="112"/>
      <c r="Y28" s="107"/>
      <c r="Z28" s="107"/>
      <c r="AA28" s="107"/>
      <c r="AB28" s="112"/>
      <c r="AC28" s="107">
        <v>4.2</v>
      </c>
      <c r="AD28" s="112"/>
      <c r="AE28" s="112"/>
      <c r="AF28" s="112"/>
      <c r="AG28" s="112"/>
      <c r="AH28" s="112"/>
      <c r="AI28" s="107">
        <f>理財目標費用終值!D18*12</f>
        <v>118.12363160146052</v>
      </c>
      <c r="AJ28" s="112"/>
      <c r="AK28" s="107"/>
      <c r="AL28" s="107">
        <f t="shared" si="5"/>
        <v>122.32363160146052</v>
      </c>
      <c r="AM28" s="110">
        <f t="shared" si="13"/>
        <v>269.67421292801697</v>
      </c>
      <c r="AN28" s="111">
        <f t="shared" si="6"/>
        <v>1607.5485188920493</v>
      </c>
    </row>
    <row r="29" spans="1:46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J29" s="117">
        <f t="shared" si="15"/>
        <v>1607.5485188920493</v>
      </c>
      <c r="K29" s="146">
        <v>0.02</v>
      </c>
      <c r="L29" s="112"/>
      <c r="M29" s="112"/>
      <c r="N29" s="107">
        <f t="shared" si="28"/>
        <v>32.150970377840984</v>
      </c>
      <c r="O29" s="107">
        <f t="shared" si="34"/>
        <v>8.3670905717701256</v>
      </c>
      <c r="P29" s="112">
        <f>P28*(1+$B$3)</f>
        <v>35.625621600000002</v>
      </c>
      <c r="Q29" s="112">
        <f>Q28*(1+$B$3)</f>
        <v>29.713946399999994</v>
      </c>
      <c r="R29" s="107">
        <f>R28</f>
        <v>21.421294804000734</v>
      </c>
      <c r="S29" s="112">
        <f>S28</f>
        <v>18.648267795942825</v>
      </c>
      <c r="T29" s="112"/>
      <c r="U29" s="107">
        <f t="shared" si="2"/>
        <v>145.92719154955466</v>
      </c>
      <c r="V29" s="112"/>
      <c r="W29" s="107"/>
      <c r="X29" s="112"/>
      <c r="Y29" s="107"/>
      <c r="Z29" s="112"/>
      <c r="AA29" s="112"/>
      <c r="AB29" s="112"/>
      <c r="AC29" s="107">
        <v>4.2</v>
      </c>
      <c r="AD29" s="112"/>
      <c r="AE29" s="112"/>
      <c r="AF29" s="112"/>
      <c r="AG29" s="112"/>
      <c r="AH29" s="112"/>
      <c r="AI29" s="107">
        <f>AI28*(1+$B$3)</f>
        <v>120.48610423348973</v>
      </c>
      <c r="AJ29" s="112"/>
      <c r="AK29" s="112"/>
      <c r="AL29" s="107">
        <f t="shared" si="5"/>
        <v>124.68610423348973</v>
      </c>
      <c r="AM29" s="110">
        <f t="shared" si="13"/>
        <v>21.241087316064934</v>
      </c>
      <c r="AN29" s="111">
        <f t="shared" si="6"/>
        <v>1628.7896062081143</v>
      </c>
    </row>
    <row r="30" spans="1:46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J30" s="117">
        <f t="shared" si="15"/>
        <v>1628.7896062081143</v>
      </c>
      <c r="K30" s="146">
        <v>0.02</v>
      </c>
      <c r="L30" s="112"/>
      <c r="M30" s="112"/>
      <c r="N30" s="107">
        <f t="shared" si="28"/>
        <v>32.575792124162284</v>
      </c>
      <c r="O30" s="107">
        <f t="shared" si="34"/>
        <v>8.5344323832055284</v>
      </c>
      <c r="P30" s="112">
        <f t="shared" si="34"/>
        <v>36.338134032000006</v>
      </c>
      <c r="Q30" s="112">
        <f t="shared" si="34"/>
        <v>30.308225327999995</v>
      </c>
      <c r="R30" s="107">
        <f t="shared" ref="R30:S45" si="43">R29</f>
        <v>21.421294804000734</v>
      </c>
      <c r="S30" s="112">
        <f t="shared" si="43"/>
        <v>18.648267795942825</v>
      </c>
      <c r="T30" s="112"/>
      <c r="U30" s="107">
        <f t="shared" si="2"/>
        <v>147.82614646731136</v>
      </c>
      <c r="V30" s="112"/>
      <c r="W30" s="107"/>
      <c r="X30" s="112"/>
      <c r="Y30" s="107"/>
      <c r="Z30" s="112"/>
      <c r="AA30" s="112"/>
      <c r="AB30" s="112"/>
      <c r="AC30" s="107">
        <v>4.2</v>
      </c>
      <c r="AD30" s="112"/>
      <c r="AE30" s="112"/>
      <c r="AF30" s="112"/>
      <c r="AG30" s="112"/>
      <c r="AH30" s="112"/>
      <c r="AI30" s="107">
        <f>AI29*(1+$B$3)</f>
        <v>122.89582631815952</v>
      </c>
      <c r="AJ30" s="112"/>
      <c r="AK30" s="112"/>
      <c r="AL30" s="107">
        <f t="shared" si="5"/>
        <v>127.09582631815952</v>
      </c>
      <c r="AM30" s="110">
        <f t="shared" si="13"/>
        <v>20.730320149151837</v>
      </c>
      <c r="AN30" s="111">
        <f t="shared" si="6"/>
        <v>1649.5199263572661</v>
      </c>
    </row>
    <row r="31" spans="1:46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J31" s="117">
        <f t="shared" si="15"/>
        <v>1649.5199263572661</v>
      </c>
      <c r="K31" s="146">
        <v>0.02</v>
      </c>
      <c r="L31" s="112"/>
      <c r="M31" s="112"/>
      <c r="N31" s="107">
        <f t="shared" si="28"/>
        <v>32.990398527145324</v>
      </c>
      <c r="O31" s="107">
        <f t="shared" si="34"/>
        <v>8.7051210308696394</v>
      </c>
      <c r="P31" s="112">
        <f t="shared" si="34"/>
        <v>37.064896712640007</v>
      </c>
      <c r="Q31" s="112">
        <f t="shared" si="34"/>
        <v>30.914389834559994</v>
      </c>
      <c r="R31" s="107">
        <f t="shared" si="43"/>
        <v>21.421294804000734</v>
      </c>
      <c r="S31" s="112">
        <f t="shared" si="43"/>
        <v>18.648267795942825</v>
      </c>
      <c r="T31" s="112"/>
      <c r="U31" s="107">
        <f t="shared" si="2"/>
        <v>149.74436870515851</v>
      </c>
      <c r="V31" s="112"/>
      <c r="W31" s="107"/>
      <c r="X31" s="112"/>
      <c r="Y31" s="107"/>
      <c r="Z31" s="112"/>
      <c r="AA31" s="112"/>
      <c r="AB31" s="112"/>
      <c r="AC31" s="107">
        <v>4.2</v>
      </c>
      <c r="AD31" s="112"/>
      <c r="AE31" s="112"/>
      <c r="AF31" s="112"/>
      <c r="AG31" s="112"/>
      <c r="AH31" s="112"/>
      <c r="AI31" s="107">
        <f t="shared" ref="AI31:AI53" si="44">AI30*(1+$B$3)</f>
        <v>125.35374284452271</v>
      </c>
      <c r="AJ31" s="112"/>
      <c r="AK31" s="112"/>
      <c r="AL31" s="107">
        <f t="shared" si="5"/>
        <v>129.5537428445227</v>
      </c>
      <c r="AM31" s="110">
        <f t="shared" si="13"/>
        <v>20.190625860635805</v>
      </c>
      <c r="AN31" s="111">
        <f t="shared" si="6"/>
        <v>1669.7105522179017</v>
      </c>
    </row>
    <row r="32" spans="1:46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J32" s="117">
        <f t="shared" si="15"/>
        <v>1669.7105522179017</v>
      </c>
      <c r="K32" s="146">
        <v>0.02</v>
      </c>
      <c r="L32" s="112"/>
      <c r="M32" s="112"/>
      <c r="N32" s="107">
        <f t="shared" si="28"/>
        <v>33.394211044358038</v>
      </c>
      <c r="O32" s="107">
        <f t="shared" si="34"/>
        <v>8.8792234514870323</v>
      </c>
      <c r="P32" s="112">
        <f t="shared" si="34"/>
        <v>37.806194646892806</v>
      </c>
      <c r="Q32" s="112">
        <f t="shared" si="34"/>
        <v>31.532677631251193</v>
      </c>
      <c r="R32" s="107">
        <f t="shared" si="43"/>
        <v>21.421294804000734</v>
      </c>
      <c r="S32" s="112">
        <f t="shared" si="43"/>
        <v>18.648267795942825</v>
      </c>
      <c r="T32" s="112"/>
      <c r="U32" s="107">
        <f t="shared" si="2"/>
        <v>151.68186937393261</v>
      </c>
      <c r="V32" s="112"/>
      <c r="W32" s="107"/>
      <c r="X32" s="112"/>
      <c r="Y32" s="107"/>
      <c r="Z32" s="112"/>
      <c r="AA32" s="112"/>
      <c r="AB32" s="112"/>
      <c r="AC32" s="107">
        <v>4.2</v>
      </c>
      <c r="AD32" s="112"/>
      <c r="AE32" s="112"/>
      <c r="AF32" s="112"/>
      <c r="AG32" s="112"/>
      <c r="AH32" s="112"/>
      <c r="AI32" s="107">
        <f t="shared" si="44"/>
        <v>127.86081770141317</v>
      </c>
      <c r="AJ32" s="112"/>
      <c r="AK32" s="112"/>
      <c r="AL32" s="107">
        <f t="shared" si="5"/>
        <v>132.06081770141316</v>
      </c>
      <c r="AM32" s="110">
        <f t="shared" si="13"/>
        <v>19.621051672519457</v>
      </c>
      <c r="AN32" s="111">
        <f t="shared" si="6"/>
        <v>1689.3316038904213</v>
      </c>
    </row>
    <row r="33" spans="4:40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J33" s="117">
        <f t="shared" si="15"/>
        <v>1689.3316038904213</v>
      </c>
      <c r="K33" s="146">
        <v>0.02</v>
      </c>
      <c r="L33" s="112"/>
      <c r="M33" s="112"/>
      <c r="N33" s="107">
        <f t="shared" si="28"/>
        <v>33.786632077808427</v>
      </c>
      <c r="O33" s="107">
        <f t="shared" si="34"/>
        <v>9.0568079205167731</v>
      </c>
      <c r="P33" s="112">
        <f t="shared" si="34"/>
        <v>38.562318539830663</v>
      </c>
      <c r="Q33" s="112">
        <f t="shared" si="34"/>
        <v>32.163331183876217</v>
      </c>
      <c r="R33" s="107">
        <f t="shared" si="43"/>
        <v>21.421294804000734</v>
      </c>
      <c r="S33" s="112">
        <f t="shared" si="43"/>
        <v>18.648267795942825</v>
      </c>
      <c r="T33" s="112"/>
      <c r="U33" s="107">
        <f t="shared" si="2"/>
        <v>153.63865232197563</v>
      </c>
      <c r="V33" s="112"/>
      <c r="W33" s="107"/>
      <c r="X33" s="112"/>
      <c r="Y33" s="107"/>
      <c r="Z33" s="112"/>
      <c r="AA33" s="112"/>
      <c r="AB33" s="112"/>
      <c r="AC33" s="107">
        <v>4.2</v>
      </c>
      <c r="AD33" s="112"/>
      <c r="AE33" s="112"/>
      <c r="AF33" s="112"/>
      <c r="AG33" s="112"/>
      <c r="AH33" s="112"/>
      <c r="AI33" s="107">
        <f t="shared" si="44"/>
        <v>130.41803405544144</v>
      </c>
      <c r="AJ33" s="112"/>
      <c r="AK33" s="112"/>
      <c r="AL33" s="107">
        <f t="shared" si="5"/>
        <v>134.61803405544143</v>
      </c>
      <c r="AM33" s="110">
        <f t="shared" si="13"/>
        <v>19.0206182665342</v>
      </c>
      <c r="AN33" s="111">
        <f t="shared" si="6"/>
        <v>1708.3522221569556</v>
      </c>
    </row>
    <row r="34" spans="4:40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J34" s="117">
        <f t="shared" si="15"/>
        <v>1708.3522221569556</v>
      </c>
      <c r="K34" s="146">
        <v>0.02</v>
      </c>
      <c r="L34" s="112"/>
      <c r="M34" s="112"/>
      <c r="N34" s="107">
        <f t="shared" si="28"/>
        <v>34.167044443139112</v>
      </c>
      <c r="O34" s="107">
        <f t="shared" si="34"/>
        <v>9.237944078927109</v>
      </c>
      <c r="P34" s="112">
        <f t="shared" si="34"/>
        <v>39.333564910627274</v>
      </c>
      <c r="Q34" s="112">
        <f t="shared" si="34"/>
        <v>32.806597807553743</v>
      </c>
      <c r="R34" s="107">
        <f t="shared" si="43"/>
        <v>21.421294804000734</v>
      </c>
      <c r="S34" s="112">
        <f t="shared" si="43"/>
        <v>18.648267795942825</v>
      </c>
      <c r="T34" s="112"/>
      <c r="U34" s="107">
        <f t="shared" si="2"/>
        <v>155.61471384019077</v>
      </c>
      <c r="V34" s="112"/>
      <c r="W34" s="107"/>
      <c r="X34" s="112"/>
      <c r="Y34" s="107"/>
      <c r="Z34" s="112"/>
      <c r="AA34" s="112"/>
      <c r="AB34" s="112"/>
      <c r="AC34" s="107">
        <v>4.2</v>
      </c>
      <c r="AD34" s="112"/>
      <c r="AE34" s="112"/>
      <c r="AF34" s="112"/>
      <c r="AG34" s="112"/>
      <c r="AH34" s="112"/>
      <c r="AI34" s="107">
        <f t="shared" si="44"/>
        <v>133.02639473655026</v>
      </c>
      <c r="AJ34" s="112"/>
      <c r="AK34" s="112"/>
      <c r="AL34" s="107">
        <f t="shared" si="5"/>
        <v>137.22639473655025</v>
      </c>
      <c r="AM34" s="110">
        <f t="shared" si="13"/>
        <v>18.388319103640526</v>
      </c>
      <c r="AN34" s="111">
        <f t="shared" si="6"/>
        <v>1726.740541260596</v>
      </c>
    </row>
    <row r="35" spans="4:40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J35" s="117">
        <f t="shared" si="15"/>
        <v>1726.740541260596</v>
      </c>
      <c r="K35" s="146">
        <v>0.02</v>
      </c>
      <c r="L35" s="112"/>
      <c r="M35" s="112"/>
      <c r="N35" s="107">
        <f t="shared" si="28"/>
        <v>34.53481082521192</v>
      </c>
      <c r="O35" s="107">
        <f t="shared" si="34"/>
        <v>9.4227029605056511</v>
      </c>
      <c r="P35" s="112">
        <f t="shared" si="34"/>
        <v>40.12023620883982</v>
      </c>
      <c r="Q35" s="112">
        <f t="shared" si="34"/>
        <v>33.462729763704822</v>
      </c>
      <c r="R35" s="107">
        <f t="shared" si="43"/>
        <v>21.421294804000734</v>
      </c>
      <c r="S35" s="112">
        <f t="shared" si="43"/>
        <v>18.648267795942825</v>
      </c>
      <c r="T35" s="112"/>
      <c r="U35" s="107">
        <f t="shared" si="2"/>
        <v>157.61004235820576</v>
      </c>
      <c r="V35" s="112"/>
      <c r="W35" s="107"/>
      <c r="X35" s="112"/>
      <c r="Y35" s="107"/>
      <c r="Z35" s="112"/>
      <c r="AA35" s="112"/>
      <c r="AB35" s="112"/>
      <c r="AC35" s="107">
        <v>4.2</v>
      </c>
      <c r="AD35" s="112"/>
      <c r="AE35" s="112"/>
      <c r="AF35" s="112"/>
      <c r="AG35" s="112"/>
      <c r="AH35" s="112"/>
      <c r="AI35" s="107">
        <f t="shared" si="44"/>
        <v>135.68692263128128</v>
      </c>
      <c r="AJ35" s="112"/>
      <c r="AK35" s="112"/>
      <c r="AL35" s="107">
        <f t="shared" si="5"/>
        <v>139.88692263128127</v>
      </c>
      <c r="AM35" s="110">
        <f t="shared" ref="AM35:AM53" si="45">U35-AL35</f>
        <v>17.723119726924494</v>
      </c>
      <c r="AN35" s="111">
        <f t="shared" si="6"/>
        <v>1744.4636609875206</v>
      </c>
    </row>
    <row r="36" spans="4:40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J36" s="117">
        <f t="shared" si="15"/>
        <v>1744.4636609875206</v>
      </c>
      <c r="K36" s="146">
        <v>0.02</v>
      </c>
      <c r="L36" s="112"/>
      <c r="M36" s="112"/>
      <c r="N36" s="107">
        <f t="shared" si="28"/>
        <v>34.889273219750415</v>
      </c>
      <c r="O36" s="107">
        <f t="shared" si="34"/>
        <v>9.6111570197157636</v>
      </c>
      <c r="P36" s="112">
        <f t="shared" si="34"/>
        <v>40.922640933016616</v>
      </c>
      <c r="Q36" s="112">
        <f t="shared" si="34"/>
        <v>34.131984358978919</v>
      </c>
      <c r="R36" s="107">
        <f t="shared" si="43"/>
        <v>21.421294804000734</v>
      </c>
      <c r="S36" s="112">
        <f t="shared" si="43"/>
        <v>18.648267795942825</v>
      </c>
      <c r="T36" s="112"/>
      <c r="U36" s="107">
        <f t="shared" si="2"/>
        <v>159.62461813140524</v>
      </c>
      <c r="V36" s="112"/>
      <c r="W36" s="107"/>
      <c r="X36" s="112"/>
      <c r="Y36" s="107"/>
      <c r="Z36" s="112"/>
      <c r="AA36" s="112"/>
      <c r="AB36" s="112"/>
      <c r="AC36" s="107">
        <v>4.2</v>
      </c>
      <c r="AD36" s="112"/>
      <c r="AE36" s="112"/>
      <c r="AF36" s="112"/>
      <c r="AG36" s="112"/>
      <c r="AH36" s="112"/>
      <c r="AI36" s="107">
        <f t="shared" si="44"/>
        <v>138.4006610839069</v>
      </c>
      <c r="AJ36" s="112"/>
      <c r="AK36" s="112"/>
      <c r="AL36" s="107">
        <f t="shared" si="5"/>
        <v>142.60066108390689</v>
      </c>
      <c r="AM36" s="110">
        <f t="shared" si="45"/>
        <v>17.023957047498357</v>
      </c>
      <c r="AN36" s="111">
        <f t="shared" ref="AN36:AN53" si="46">J36+AM36</f>
        <v>1761.4876180350188</v>
      </c>
    </row>
    <row r="37" spans="4:40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J37" s="117">
        <f t="shared" si="15"/>
        <v>1761.4876180350188</v>
      </c>
      <c r="K37" s="146">
        <v>0.02</v>
      </c>
      <c r="L37" s="112"/>
      <c r="M37" s="112"/>
      <c r="N37" s="107">
        <f t="shared" si="28"/>
        <v>35.229752360700381</v>
      </c>
      <c r="O37" s="107">
        <f t="shared" ref="O37:Q52" si="47">O36*(1+$B$3)</f>
        <v>9.8033801601100787</v>
      </c>
      <c r="P37" s="112">
        <f t="shared" si="47"/>
        <v>41.741093751676949</v>
      </c>
      <c r="Q37" s="112">
        <f t="shared" si="47"/>
        <v>34.814624046158499</v>
      </c>
      <c r="R37" s="107">
        <f t="shared" si="43"/>
        <v>21.421294804000734</v>
      </c>
      <c r="S37" s="112">
        <f t="shared" si="43"/>
        <v>18.648267795942825</v>
      </c>
      <c r="T37" s="112"/>
      <c r="U37" s="107">
        <f t="shared" si="2"/>
        <v>161.65841291858945</v>
      </c>
      <c r="V37" s="112"/>
      <c r="W37" s="107"/>
      <c r="X37" s="112"/>
      <c r="Y37" s="107"/>
      <c r="Z37" s="112"/>
      <c r="AA37" s="112"/>
      <c r="AB37" s="112"/>
      <c r="AC37" s="107">
        <v>4.2</v>
      </c>
      <c r="AD37" s="112"/>
      <c r="AE37" s="112"/>
      <c r="AF37" s="112"/>
      <c r="AG37" s="112"/>
      <c r="AH37" s="112"/>
      <c r="AI37" s="107">
        <f t="shared" si="44"/>
        <v>141.16867430558503</v>
      </c>
      <c r="AJ37" s="112"/>
      <c r="AK37" s="112"/>
      <c r="AL37" s="107">
        <f t="shared" si="5"/>
        <v>145.36867430558502</v>
      </c>
      <c r="AM37" s="110">
        <f t="shared" si="45"/>
        <v>16.289738613004431</v>
      </c>
      <c r="AN37" s="111">
        <f t="shared" si="46"/>
        <v>1777.7773566480232</v>
      </c>
    </row>
    <row r="38" spans="4:40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J38" s="117">
        <f t="shared" si="15"/>
        <v>1777.7773566480232</v>
      </c>
      <c r="K38" s="146">
        <v>0.02</v>
      </c>
      <c r="L38" s="112"/>
      <c r="M38" s="112"/>
      <c r="N38" s="107">
        <f t="shared" si="28"/>
        <v>35.555547132960463</v>
      </c>
      <c r="O38" s="107">
        <f t="shared" si="47"/>
        <v>9.9994477633122809</v>
      </c>
      <c r="P38" s="112">
        <f t="shared" si="47"/>
        <v>42.57591562671049</v>
      </c>
      <c r="Q38" s="112">
        <f t="shared" si="47"/>
        <v>35.510916527081669</v>
      </c>
      <c r="R38" s="107">
        <f t="shared" si="43"/>
        <v>21.421294804000734</v>
      </c>
      <c r="S38" s="112">
        <f t="shared" si="43"/>
        <v>18.648267795942825</v>
      </c>
      <c r="T38" s="112"/>
      <c r="U38" s="107">
        <f t="shared" si="2"/>
        <v>163.71138965000844</v>
      </c>
      <c r="V38" s="112"/>
      <c r="W38" s="107"/>
      <c r="X38" s="112"/>
      <c r="Y38" s="107"/>
      <c r="Z38" s="112"/>
      <c r="AA38" s="112"/>
      <c r="AB38" s="112"/>
      <c r="AC38" s="107">
        <v>4.2</v>
      </c>
      <c r="AD38" s="112"/>
      <c r="AE38" s="112"/>
      <c r="AF38" s="112"/>
      <c r="AG38" s="112"/>
      <c r="AH38" s="112"/>
      <c r="AI38" s="107">
        <f t="shared" si="44"/>
        <v>143.99204779169673</v>
      </c>
      <c r="AJ38" s="112"/>
      <c r="AK38" s="112"/>
      <c r="AL38" s="107">
        <f t="shared" si="5"/>
        <v>148.19204779169672</v>
      </c>
      <c r="AM38" s="110">
        <f t="shared" si="45"/>
        <v>15.519341858311719</v>
      </c>
      <c r="AN38" s="111">
        <f t="shared" si="46"/>
        <v>1793.2966985063349</v>
      </c>
    </row>
    <row r="39" spans="4:40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J39" s="117">
        <f t="shared" si="15"/>
        <v>1793.2966985063349</v>
      </c>
      <c r="K39" s="146">
        <v>0.02</v>
      </c>
      <c r="L39" s="112"/>
      <c r="M39" s="112"/>
      <c r="N39" s="107">
        <f t="shared" si="28"/>
        <v>35.865933970126697</v>
      </c>
      <c r="O39" s="107">
        <f t="shared" si="47"/>
        <v>10.199436718578527</v>
      </c>
      <c r="P39" s="112">
        <f t="shared" si="47"/>
        <v>43.4274339392447</v>
      </c>
      <c r="Q39" s="112">
        <f t="shared" si="47"/>
        <v>36.221134857623305</v>
      </c>
      <c r="R39" s="107">
        <f t="shared" si="43"/>
        <v>21.421294804000734</v>
      </c>
      <c r="S39" s="112">
        <f t="shared" si="43"/>
        <v>18.648267795942825</v>
      </c>
      <c r="T39" s="112"/>
      <c r="U39" s="107">
        <f t="shared" si="2"/>
        <v>165.78350208551677</v>
      </c>
      <c r="V39" s="112"/>
      <c r="W39" s="107"/>
      <c r="X39" s="112"/>
      <c r="Y39" s="107"/>
      <c r="Z39" s="112"/>
      <c r="AA39" s="112"/>
      <c r="AB39" s="112"/>
      <c r="AC39" s="112"/>
      <c r="AD39" s="112"/>
      <c r="AE39" s="112"/>
      <c r="AF39" s="112"/>
      <c r="AG39" s="112"/>
      <c r="AH39" s="112"/>
      <c r="AI39" s="107">
        <f t="shared" si="44"/>
        <v>146.87188874753068</v>
      </c>
      <c r="AJ39" s="112"/>
      <c r="AK39" s="112"/>
      <c r="AL39" s="107">
        <f t="shared" si="5"/>
        <v>146.87188874753068</v>
      </c>
      <c r="AM39" s="110">
        <f t="shared" si="45"/>
        <v>18.911613337986097</v>
      </c>
      <c r="AN39" s="111">
        <f t="shared" si="46"/>
        <v>1812.2083118443211</v>
      </c>
    </row>
    <row r="40" spans="4:40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J40" s="117">
        <f t="shared" si="15"/>
        <v>1812.2083118443211</v>
      </c>
      <c r="K40" s="146">
        <v>0.02</v>
      </c>
      <c r="L40" s="112"/>
      <c r="M40" s="112"/>
      <c r="N40" s="107">
        <f t="shared" si="28"/>
        <v>36.244166236886421</v>
      </c>
      <c r="O40" s="107">
        <f t="shared" si="47"/>
        <v>10.403425452950097</v>
      </c>
      <c r="P40" s="112">
        <f t="shared" si="47"/>
        <v>44.295982618029598</v>
      </c>
      <c r="Q40" s="112">
        <f t="shared" si="47"/>
        <v>36.945557554775775</v>
      </c>
      <c r="R40" s="107">
        <f t="shared" si="43"/>
        <v>21.421294804000734</v>
      </c>
      <c r="S40" s="112">
        <f t="shared" si="43"/>
        <v>18.648267795942825</v>
      </c>
      <c r="T40" s="112"/>
      <c r="U40" s="107">
        <f t="shared" si="2"/>
        <v>167.95869446258544</v>
      </c>
      <c r="V40" s="112"/>
      <c r="W40" s="107"/>
      <c r="X40" s="112"/>
      <c r="Y40" s="107"/>
      <c r="Z40" s="112"/>
      <c r="AA40" s="112"/>
      <c r="AB40" s="112"/>
      <c r="AC40" s="112"/>
      <c r="AD40" s="112"/>
      <c r="AE40" s="112"/>
      <c r="AF40" s="112"/>
      <c r="AG40" s="112"/>
      <c r="AH40" s="112"/>
      <c r="AI40" s="107">
        <f t="shared" si="44"/>
        <v>149.80932652248129</v>
      </c>
      <c r="AJ40" s="112"/>
      <c r="AK40" s="112"/>
      <c r="AL40" s="107">
        <f t="shared" si="5"/>
        <v>149.80932652248129</v>
      </c>
      <c r="AM40" s="110">
        <f t="shared" si="45"/>
        <v>18.149367940104156</v>
      </c>
      <c r="AN40" s="111">
        <f t="shared" si="46"/>
        <v>1830.3576797844253</v>
      </c>
    </row>
    <row r="41" spans="4:40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J41" s="117">
        <f t="shared" si="15"/>
        <v>1830.3576797844253</v>
      </c>
      <c r="K41" s="146">
        <v>0.02</v>
      </c>
      <c r="L41" s="112"/>
      <c r="M41" s="112"/>
      <c r="N41" s="107">
        <f t="shared" si="28"/>
        <v>36.607153595688509</v>
      </c>
      <c r="O41" s="107">
        <f t="shared" si="47"/>
        <v>10.611493962009099</v>
      </c>
      <c r="P41" s="112">
        <f t="shared" si="47"/>
        <v>45.181902270390189</v>
      </c>
      <c r="Q41" s="112">
        <f t="shared" si="47"/>
        <v>37.684468705871289</v>
      </c>
      <c r="R41" s="107">
        <f t="shared" si="43"/>
        <v>21.421294804000734</v>
      </c>
      <c r="S41" s="112">
        <f t="shared" si="43"/>
        <v>18.648267795942825</v>
      </c>
      <c r="T41" s="112"/>
      <c r="U41" s="107">
        <f t="shared" si="2"/>
        <v>170.15458113390264</v>
      </c>
      <c r="V41" s="112"/>
      <c r="W41" s="107"/>
      <c r="X41" s="112"/>
      <c r="Y41" s="107"/>
      <c r="Z41" s="112"/>
      <c r="AA41" s="112"/>
      <c r="AB41" s="112"/>
      <c r="AC41" s="112"/>
      <c r="AD41" s="112"/>
      <c r="AE41" s="112"/>
      <c r="AF41" s="112"/>
      <c r="AG41" s="112"/>
      <c r="AH41" s="112"/>
      <c r="AI41" s="107">
        <f t="shared" si="44"/>
        <v>152.80551305293091</v>
      </c>
      <c r="AJ41" s="112"/>
      <c r="AK41" s="112"/>
      <c r="AL41" s="107">
        <f t="shared" si="5"/>
        <v>152.80551305293091</v>
      </c>
      <c r="AM41" s="110">
        <f t="shared" si="45"/>
        <v>17.349068080971733</v>
      </c>
      <c r="AN41" s="111">
        <f t="shared" si="46"/>
        <v>1847.7067478653971</v>
      </c>
    </row>
    <row r="42" spans="4:40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J42" s="117">
        <f t="shared" si="15"/>
        <v>1847.7067478653971</v>
      </c>
      <c r="K42" s="146">
        <v>0.02</v>
      </c>
      <c r="L42" s="112"/>
      <c r="M42" s="112"/>
      <c r="N42" s="107">
        <f t="shared" si="28"/>
        <v>36.954134957307943</v>
      </c>
      <c r="O42" s="107">
        <f t="shared" si="47"/>
        <v>10.823723841249281</v>
      </c>
      <c r="P42" s="112">
        <f t="shared" si="47"/>
        <v>46.085540315797992</v>
      </c>
      <c r="Q42" s="112">
        <f t="shared" si="47"/>
        <v>38.438158079988717</v>
      </c>
      <c r="R42" s="107">
        <f t="shared" si="43"/>
        <v>21.421294804000734</v>
      </c>
      <c r="S42" s="112">
        <f t="shared" si="43"/>
        <v>18.648267795942825</v>
      </c>
      <c r="T42" s="112"/>
      <c r="U42" s="107">
        <f t="shared" si="2"/>
        <v>172.37111979428747</v>
      </c>
      <c r="V42" s="112"/>
      <c r="W42" s="107"/>
      <c r="X42" s="112"/>
      <c r="Y42" s="107"/>
      <c r="Z42" s="112"/>
      <c r="AA42" s="112"/>
      <c r="AB42" s="112"/>
      <c r="AC42" s="112"/>
      <c r="AD42" s="112"/>
      <c r="AE42" s="112"/>
      <c r="AF42" s="112"/>
      <c r="AG42" s="112"/>
      <c r="AH42" s="112"/>
      <c r="AI42" s="107">
        <f t="shared" si="44"/>
        <v>155.86162331398953</v>
      </c>
      <c r="AJ42" s="112"/>
      <c r="AK42" s="112"/>
      <c r="AL42" s="107">
        <f t="shared" si="5"/>
        <v>155.86162331398953</v>
      </c>
      <c r="AM42" s="110">
        <f t="shared" si="45"/>
        <v>16.50949648029794</v>
      </c>
      <c r="AN42" s="111">
        <f t="shared" si="46"/>
        <v>1864.216244345695</v>
      </c>
    </row>
    <row r="43" spans="4:40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J43" s="117">
        <f t="shared" si="15"/>
        <v>1864.216244345695</v>
      </c>
      <c r="K43" s="146">
        <v>0.02</v>
      </c>
      <c r="L43" s="112"/>
      <c r="M43" s="112"/>
      <c r="N43" s="107">
        <f t="shared" si="28"/>
        <v>37.2843248869139</v>
      </c>
      <c r="O43" s="107">
        <f t="shared" si="47"/>
        <v>11.040198318074268</v>
      </c>
      <c r="P43" s="112">
        <f t="shared" si="47"/>
        <v>47.007251122113949</v>
      </c>
      <c r="Q43" s="112">
        <f t="shared" si="47"/>
        <v>39.206921241588489</v>
      </c>
      <c r="R43" s="107">
        <f t="shared" si="43"/>
        <v>21.421294804000734</v>
      </c>
      <c r="S43" s="112">
        <f t="shared" si="43"/>
        <v>18.648267795942825</v>
      </c>
      <c r="T43" s="112"/>
      <c r="U43" s="107">
        <f t="shared" si="2"/>
        <v>174.60825816863417</v>
      </c>
      <c r="V43" s="112"/>
      <c r="W43" s="107"/>
      <c r="X43" s="112"/>
      <c r="Y43" s="107"/>
      <c r="Z43" s="112"/>
      <c r="AA43" s="112"/>
      <c r="AB43" s="112"/>
      <c r="AC43" s="112"/>
      <c r="AD43" s="112"/>
      <c r="AE43" s="112"/>
      <c r="AF43" s="112"/>
      <c r="AG43" s="112"/>
      <c r="AH43" s="112"/>
      <c r="AI43" s="107">
        <f t="shared" si="44"/>
        <v>158.97885578026933</v>
      </c>
      <c r="AJ43" s="112"/>
      <c r="AK43" s="112"/>
      <c r="AL43" s="107">
        <f t="shared" si="5"/>
        <v>158.97885578026933</v>
      </c>
      <c r="AM43" s="110">
        <f t="shared" si="45"/>
        <v>15.629402388364838</v>
      </c>
      <c r="AN43" s="111">
        <f t="shared" si="46"/>
        <v>1879.8456467340598</v>
      </c>
    </row>
    <row r="44" spans="4:40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J44" s="117">
        <f t="shared" si="15"/>
        <v>1879.8456467340598</v>
      </c>
      <c r="K44" s="146">
        <v>0.02</v>
      </c>
      <c r="L44" s="112"/>
      <c r="M44" s="112"/>
      <c r="N44" s="107">
        <f t="shared" si="28"/>
        <v>37.596912934681193</v>
      </c>
      <c r="O44" s="107">
        <f t="shared" si="47"/>
        <v>11.261002284435753</v>
      </c>
      <c r="P44" s="112">
        <f t="shared" si="47"/>
        <v>47.94739614455623</v>
      </c>
      <c r="Q44" s="112">
        <f t="shared" si="47"/>
        <v>39.991059666420263</v>
      </c>
      <c r="R44" s="107">
        <f t="shared" si="43"/>
        <v>21.421294804000734</v>
      </c>
      <c r="S44" s="112">
        <f t="shared" si="43"/>
        <v>18.648267795942825</v>
      </c>
      <c r="T44" s="112"/>
      <c r="U44" s="107">
        <f t="shared" si="2"/>
        <v>176.86593363003698</v>
      </c>
      <c r="V44" s="112"/>
      <c r="W44" s="107"/>
      <c r="X44" s="112"/>
      <c r="Y44" s="107"/>
      <c r="Z44" s="112"/>
      <c r="AA44" s="112"/>
      <c r="AB44" s="112"/>
      <c r="AC44" s="112"/>
      <c r="AD44" s="112"/>
      <c r="AE44" s="112"/>
      <c r="AF44" s="112"/>
      <c r="AG44" s="112"/>
      <c r="AH44" s="112"/>
      <c r="AI44" s="107">
        <f t="shared" si="44"/>
        <v>162.15843289587471</v>
      </c>
      <c r="AJ44" s="112"/>
      <c r="AK44" s="112"/>
      <c r="AL44" s="107">
        <f t="shared" si="5"/>
        <v>162.15843289587471</v>
      </c>
      <c r="AM44" s="110">
        <f t="shared" si="45"/>
        <v>14.707500734162267</v>
      </c>
      <c r="AN44" s="111">
        <f t="shared" si="46"/>
        <v>1894.5531474682221</v>
      </c>
    </row>
    <row r="45" spans="4:40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J45" s="117">
        <f t="shared" si="15"/>
        <v>1894.5531474682221</v>
      </c>
      <c r="K45" s="146">
        <v>0.02</v>
      </c>
      <c r="L45" s="112"/>
      <c r="M45" s="112"/>
      <c r="N45" s="107">
        <f t="shared" si="28"/>
        <v>37.891062949364439</v>
      </c>
      <c r="O45" s="107">
        <f t="shared" si="47"/>
        <v>11.486222330124468</v>
      </c>
      <c r="P45" s="112">
        <f t="shared" si="47"/>
        <v>48.906344067447357</v>
      </c>
      <c r="Q45" s="112">
        <f t="shared" si="47"/>
        <v>40.790880859748668</v>
      </c>
      <c r="R45" s="107">
        <f t="shared" si="43"/>
        <v>21.421294804000734</v>
      </c>
      <c r="S45" s="112">
        <f t="shared" si="43"/>
        <v>18.648267795942825</v>
      </c>
      <c r="T45" s="112"/>
      <c r="U45" s="107">
        <f t="shared" si="2"/>
        <v>179.14407280662846</v>
      </c>
      <c r="V45" s="112"/>
      <c r="W45" s="107"/>
      <c r="X45" s="112"/>
      <c r="Y45" s="107"/>
      <c r="Z45" s="112"/>
      <c r="AA45" s="112"/>
      <c r="AB45" s="112"/>
      <c r="AC45" s="112"/>
      <c r="AD45" s="112"/>
      <c r="AE45" s="112"/>
      <c r="AF45" s="112"/>
      <c r="AG45" s="112"/>
      <c r="AH45" s="112"/>
      <c r="AI45" s="107">
        <f t="shared" si="44"/>
        <v>165.4016015537922</v>
      </c>
      <c r="AJ45" s="112"/>
      <c r="AK45" s="112"/>
      <c r="AL45" s="107">
        <f t="shared" si="5"/>
        <v>165.4016015537922</v>
      </c>
      <c r="AM45" s="110">
        <f t="shared" si="45"/>
        <v>13.742471252836253</v>
      </c>
      <c r="AN45" s="111">
        <f t="shared" si="46"/>
        <v>1908.2956187210584</v>
      </c>
    </row>
    <row r="46" spans="4:40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J46" s="117">
        <f t="shared" si="15"/>
        <v>1908.2956187210584</v>
      </c>
      <c r="K46" s="146">
        <v>0.02</v>
      </c>
      <c r="L46" s="112"/>
      <c r="M46" s="112"/>
      <c r="N46" s="107">
        <f t="shared" si="28"/>
        <v>38.165912374421168</v>
      </c>
      <c r="O46" s="107">
        <f t="shared" si="47"/>
        <v>11.715946776726957</v>
      </c>
      <c r="P46" s="112">
        <f t="shared" si="47"/>
        <v>49.884470948796306</v>
      </c>
      <c r="Q46" s="112">
        <f t="shared" si="47"/>
        <v>41.606698476943642</v>
      </c>
      <c r="R46" s="107">
        <f t="shared" ref="R46:S47" si="48">R45</f>
        <v>21.421294804000734</v>
      </c>
      <c r="S46" s="112">
        <f t="shared" si="48"/>
        <v>18.648267795942825</v>
      </c>
      <c r="T46" s="112"/>
      <c r="U46" s="107">
        <f t="shared" si="2"/>
        <v>181.44259117683163</v>
      </c>
      <c r="V46" s="112"/>
      <c r="W46" s="107"/>
      <c r="X46" s="112"/>
      <c r="Y46" s="107"/>
      <c r="Z46" s="112"/>
      <c r="AA46" s="112"/>
      <c r="AB46" s="112"/>
      <c r="AC46" s="112"/>
      <c r="AD46" s="112"/>
      <c r="AE46" s="112"/>
      <c r="AF46" s="112"/>
      <c r="AG46" s="112"/>
      <c r="AH46" s="112"/>
      <c r="AI46" s="107">
        <f t="shared" si="44"/>
        <v>168.70963358486804</v>
      </c>
      <c r="AJ46" s="112"/>
      <c r="AK46" s="112"/>
      <c r="AL46" s="107">
        <f t="shared" si="5"/>
        <v>168.70963358486804</v>
      </c>
      <c r="AM46" s="110">
        <f t="shared" si="45"/>
        <v>12.732957591963583</v>
      </c>
      <c r="AN46" s="111">
        <f t="shared" si="46"/>
        <v>1921.0285763130221</v>
      </c>
    </row>
    <row r="47" spans="4:40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J47" s="117">
        <f t="shared" si="15"/>
        <v>1921.0285763130221</v>
      </c>
      <c r="K47" s="146">
        <v>0.02</v>
      </c>
      <c r="L47" s="112"/>
      <c r="M47" s="112"/>
      <c r="N47" s="107">
        <f t="shared" si="28"/>
        <v>38.420571526260446</v>
      </c>
      <c r="O47" s="107">
        <f t="shared" si="47"/>
        <v>11.950265712261496</v>
      </c>
      <c r="P47" s="112">
        <f t="shared" si="47"/>
        <v>50.882160367772229</v>
      </c>
      <c r="Q47" s="112">
        <f t="shared" si="47"/>
        <v>42.438832446482515</v>
      </c>
      <c r="R47" s="107">
        <f t="shared" si="48"/>
        <v>21.421294804000734</v>
      </c>
      <c r="S47" s="112">
        <f t="shared" si="48"/>
        <v>18.648267795942825</v>
      </c>
      <c r="T47" s="112"/>
      <c r="U47" s="107">
        <f t="shared" si="2"/>
        <v>183.76139265272022</v>
      </c>
      <c r="V47" s="112"/>
      <c r="W47" s="107"/>
      <c r="X47" s="112"/>
      <c r="Y47" s="107"/>
      <c r="Z47" s="112"/>
      <c r="AA47" s="112"/>
      <c r="AB47" s="112"/>
      <c r="AC47" s="112"/>
      <c r="AD47" s="112"/>
      <c r="AE47" s="112"/>
      <c r="AF47" s="112"/>
      <c r="AG47" s="112"/>
      <c r="AH47" s="112"/>
      <c r="AI47" s="107">
        <f t="shared" si="44"/>
        <v>172.0838262565654</v>
      </c>
      <c r="AJ47" s="112"/>
      <c r="AK47" s="112"/>
      <c r="AL47" s="107">
        <f t="shared" si="5"/>
        <v>172.0838262565654</v>
      </c>
      <c r="AM47" s="110">
        <f t="shared" si="45"/>
        <v>11.677566396154816</v>
      </c>
      <c r="AN47" s="111">
        <f t="shared" si="46"/>
        <v>1932.7061427091769</v>
      </c>
    </row>
    <row r="48" spans="4:40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J48" s="117">
        <f t="shared" si="15"/>
        <v>1932.7061427091769</v>
      </c>
      <c r="K48" s="146">
        <v>0.02</v>
      </c>
      <c r="L48" s="112"/>
      <c r="M48" s="112"/>
      <c r="N48" s="107">
        <f t="shared" si="28"/>
        <v>38.654122854183541</v>
      </c>
      <c r="O48" s="107">
        <f t="shared" si="47"/>
        <v>12.189271026506725</v>
      </c>
      <c r="P48" s="112">
        <f t="shared" si="47"/>
        <v>51.899803575127677</v>
      </c>
      <c r="Q48" s="112">
        <f t="shared" si="47"/>
        <v>43.287609095412165</v>
      </c>
      <c r="R48" s="107"/>
      <c r="S48" s="112"/>
      <c r="T48" s="112"/>
      <c r="U48" s="107">
        <f t="shared" si="2"/>
        <v>146.03080655123011</v>
      </c>
      <c r="V48" s="112"/>
      <c r="W48" s="107"/>
      <c r="X48" s="112"/>
      <c r="Y48" s="107"/>
      <c r="Z48" s="112"/>
      <c r="AA48" s="112"/>
      <c r="AB48" s="112"/>
      <c r="AC48" s="112"/>
      <c r="AD48" s="112"/>
      <c r="AE48" s="112"/>
      <c r="AF48" s="112"/>
      <c r="AG48" s="112"/>
      <c r="AH48" s="112"/>
      <c r="AI48" s="107">
        <f t="shared" si="44"/>
        <v>175.5255027816967</v>
      </c>
      <c r="AJ48" s="112"/>
      <c r="AK48" s="112"/>
      <c r="AL48" s="107">
        <f t="shared" si="5"/>
        <v>175.5255027816967</v>
      </c>
      <c r="AM48" s="110">
        <f t="shared" si="45"/>
        <v>-29.494696230466587</v>
      </c>
      <c r="AN48" s="111">
        <f t="shared" si="46"/>
        <v>1903.2114464787103</v>
      </c>
    </row>
    <row r="49" spans="4:40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J49" s="117">
        <f t="shared" si="15"/>
        <v>1903.2114464787103</v>
      </c>
      <c r="K49" s="146">
        <v>0.02</v>
      </c>
      <c r="L49" s="112"/>
      <c r="M49" s="112"/>
      <c r="N49" s="107">
        <f t="shared" si="28"/>
        <v>38.064228929574206</v>
      </c>
      <c r="O49" s="107">
        <f t="shared" si="47"/>
        <v>12.43305644703686</v>
      </c>
      <c r="P49" s="112">
        <f t="shared" si="47"/>
        <v>52.937799646630232</v>
      </c>
      <c r="Q49" s="112">
        <f t="shared" si="47"/>
        <v>44.153361277320407</v>
      </c>
      <c r="R49" s="107"/>
      <c r="S49" s="112"/>
      <c r="T49" s="112"/>
      <c r="U49" s="107">
        <f t="shared" si="2"/>
        <v>147.58844630056171</v>
      </c>
      <c r="V49" s="112"/>
      <c r="W49" s="107"/>
      <c r="X49" s="112"/>
      <c r="Y49" s="107"/>
      <c r="Z49" s="112"/>
      <c r="AA49" s="112"/>
      <c r="AB49" s="112"/>
      <c r="AC49" s="112"/>
      <c r="AD49" s="112"/>
      <c r="AE49" s="112"/>
      <c r="AF49" s="112"/>
      <c r="AG49" s="112"/>
      <c r="AH49" s="112"/>
      <c r="AI49" s="107">
        <f t="shared" si="44"/>
        <v>179.03601283733065</v>
      </c>
      <c r="AJ49" s="112"/>
      <c r="AK49" s="112"/>
      <c r="AL49" s="107">
        <f t="shared" si="5"/>
        <v>179.03601283733065</v>
      </c>
      <c r="AM49" s="110">
        <f t="shared" si="45"/>
        <v>-31.447566536768932</v>
      </c>
      <c r="AN49" s="111">
        <f t="shared" si="46"/>
        <v>1871.7638799419415</v>
      </c>
    </row>
    <row r="50" spans="4:40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J50" s="117">
        <f t="shared" si="15"/>
        <v>1871.7638799419415</v>
      </c>
      <c r="K50" s="146">
        <v>0.02</v>
      </c>
      <c r="L50" s="112"/>
      <c r="M50" s="112"/>
      <c r="N50" s="107">
        <f t="shared" si="28"/>
        <v>37.43527759883883</v>
      </c>
      <c r="O50" s="107">
        <f t="shared" si="47"/>
        <v>12.681717575977597</v>
      </c>
      <c r="P50" s="112">
        <f t="shared" si="47"/>
        <v>53.996555639562835</v>
      </c>
      <c r="Q50" s="112">
        <f t="shared" si="47"/>
        <v>45.036428502866819</v>
      </c>
      <c r="R50" s="107"/>
      <c r="S50" s="112"/>
      <c r="T50" s="112"/>
      <c r="U50" s="107">
        <f t="shared" si="2"/>
        <v>149.14997931724608</v>
      </c>
      <c r="V50" s="112"/>
      <c r="W50" s="107"/>
      <c r="X50" s="112"/>
      <c r="Y50" s="107"/>
      <c r="Z50" s="112"/>
      <c r="AA50" s="112"/>
      <c r="AB50" s="112"/>
      <c r="AC50" s="112"/>
      <c r="AD50" s="112"/>
      <c r="AE50" s="112"/>
      <c r="AF50" s="112"/>
      <c r="AG50" s="112"/>
      <c r="AH50" s="112"/>
      <c r="AI50" s="107">
        <f t="shared" si="44"/>
        <v>182.61673309407726</v>
      </c>
      <c r="AJ50" s="112"/>
      <c r="AK50" s="112"/>
      <c r="AL50" s="107">
        <f t="shared" si="5"/>
        <v>182.61673309407726</v>
      </c>
      <c r="AM50" s="110">
        <f t="shared" si="45"/>
        <v>-33.466753776831183</v>
      </c>
      <c r="AN50" s="111">
        <f t="shared" si="46"/>
        <v>1838.2971261651103</v>
      </c>
    </row>
    <row r="51" spans="4:40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J51" s="117">
        <f t="shared" si="15"/>
        <v>1838.2971261651103</v>
      </c>
      <c r="K51" s="146">
        <v>0.02</v>
      </c>
      <c r="L51" s="112"/>
      <c r="M51" s="112"/>
      <c r="N51" s="107">
        <f t="shared" si="28"/>
        <v>36.765942523302208</v>
      </c>
      <c r="O51" s="107">
        <f t="shared" si="47"/>
        <v>12.93535192749715</v>
      </c>
      <c r="P51" s="112">
        <f t="shared" si="47"/>
        <v>55.076486752354093</v>
      </c>
      <c r="Q51" s="112">
        <f t="shared" si="47"/>
        <v>45.937157072924158</v>
      </c>
      <c r="R51" s="107"/>
      <c r="S51" s="112"/>
      <c r="T51" s="112"/>
      <c r="U51" s="107">
        <f t="shared" si="2"/>
        <v>150.71493827607762</v>
      </c>
      <c r="V51" s="112"/>
      <c r="W51" s="107"/>
      <c r="X51" s="112"/>
      <c r="Y51" s="107"/>
      <c r="Z51" s="112"/>
      <c r="AA51" s="112"/>
      <c r="AB51" s="112"/>
      <c r="AC51" s="112"/>
      <c r="AD51" s="112"/>
      <c r="AE51" s="112"/>
      <c r="AF51" s="112"/>
      <c r="AG51" s="112"/>
      <c r="AH51" s="112"/>
      <c r="AI51" s="107">
        <f t="shared" si="44"/>
        <v>186.26906775595882</v>
      </c>
      <c r="AJ51" s="112"/>
      <c r="AK51" s="112"/>
      <c r="AL51" s="107">
        <f t="shared" si="5"/>
        <v>186.26906775595882</v>
      </c>
      <c r="AM51" s="110">
        <f t="shared" si="45"/>
        <v>-35.554129479881198</v>
      </c>
      <c r="AN51" s="111">
        <f t="shared" si="46"/>
        <v>1802.7429966852292</v>
      </c>
    </row>
    <row r="52" spans="4:40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J52" s="117">
        <f t="shared" si="15"/>
        <v>1802.7429966852292</v>
      </c>
      <c r="K52" s="146">
        <v>0.02</v>
      </c>
      <c r="L52" s="112"/>
      <c r="M52" s="112"/>
      <c r="N52" s="107">
        <f t="shared" si="28"/>
        <v>36.054859933704584</v>
      </c>
      <c r="O52" s="107">
        <f t="shared" si="47"/>
        <v>13.194058966047093</v>
      </c>
      <c r="P52" s="112">
        <f t="shared" si="47"/>
        <v>56.178016487401173</v>
      </c>
      <c r="Q52" s="112">
        <f t="shared" si="47"/>
        <v>46.855900214382643</v>
      </c>
      <c r="R52" s="107"/>
      <c r="S52" s="112"/>
      <c r="T52" s="112"/>
      <c r="U52" s="107">
        <f t="shared" si="2"/>
        <v>152.28283560153551</v>
      </c>
      <c r="V52" s="112"/>
      <c r="W52" s="107"/>
      <c r="X52" s="112"/>
      <c r="Y52" s="107"/>
      <c r="Z52" s="112"/>
      <c r="AA52" s="112"/>
      <c r="AB52" s="112"/>
      <c r="AC52" s="112"/>
      <c r="AD52" s="112"/>
      <c r="AE52" s="112"/>
      <c r="AF52" s="112"/>
      <c r="AG52" s="112"/>
      <c r="AH52" s="112"/>
      <c r="AI52" s="107">
        <f t="shared" si="44"/>
        <v>189.99444911107798</v>
      </c>
      <c r="AJ52" s="112"/>
      <c r="AK52" s="112"/>
      <c r="AL52" s="107">
        <f t="shared" si="5"/>
        <v>189.99444911107798</v>
      </c>
      <c r="AM52" s="110">
        <f t="shared" si="45"/>
        <v>-37.711613509542474</v>
      </c>
      <c r="AN52" s="111">
        <f t="shared" si="46"/>
        <v>1765.0313831756866</v>
      </c>
    </row>
    <row r="53" spans="4:40" x14ac:dyDescent="0.3">
      <c r="D53" s="99">
        <v>50</v>
      </c>
      <c r="E53" s="99">
        <v>90</v>
      </c>
      <c r="F53" s="99">
        <v>90</v>
      </c>
      <c r="G53" s="99">
        <v>63</v>
      </c>
      <c r="H53" s="99">
        <v>61</v>
      </c>
      <c r="I53" s="17"/>
      <c r="J53" s="122">
        <f t="shared" si="15"/>
        <v>1765.0313831756866</v>
      </c>
      <c r="K53" s="147">
        <v>0.02</v>
      </c>
      <c r="L53" s="113"/>
      <c r="M53" s="113"/>
      <c r="N53" s="108">
        <f t="shared" si="28"/>
        <v>35.300627663513737</v>
      </c>
      <c r="O53" s="108">
        <f t="shared" ref="O53:Q53" si="49">O52*(1+$B$3)</f>
        <v>13.457940145368035</v>
      </c>
      <c r="P53" s="113">
        <f t="shared" si="49"/>
        <v>57.301576817149197</v>
      </c>
      <c r="Q53" s="113">
        <f t="shared" si="49"/>
        <v>47.793018218670298</v>
      </c>
      <c r="R53" s="113"/>
      <c r="S53" s="113"/>
      <c r="T53" s="113"/>
      <c r="U53" s="108">
        <f>SUM(L53:T53)</f>
        <v>153.85316284470127</v>
      </c>
      <c r="V53" s="113"/>
      <c r="W53" s="108"/>
      <c r="X53" s="113"/>
      <c r="Y53" s="108"/>
      <c r="Z53" s="113"/>
      <c r="AA53" s="113"/>
      <c r="AB53" s="113"/>
      <c r="AC53" s="113"/>
      <c r="AD53" s="113"/>
      <c r="AE53" s="113"/>
      <c r="AF53" s="113"/>
      <c r="AG53" s="113"/>
      <c r="AH53" s="113"/>
      <c r="AI53" s="108">
        <f t="shared" si="44"/>
        <v>193.79433809329956</v>
      </c>
      <c r="AJ53" s="113"/>
      <c r="AK53" s="113"/>
      <c r="AL53" s="108">
        <f t="shared" si="5"/>
        <v>193.79433809329956</v>
      </c>
      <c r="AM53" s="114">
        <f t="shared" si="45"/>
        <v>-39.941175248598284</v>
      </c>
      <c r="AN53" s="115">
        <f t="shared" si="46"/>
        <v>1725.0902079270884</v>
      </c>
    </row>
  </sheetData>
  <mergeCells count="25">
    <mergeCell ref="A1:B1"/>
    <mergeCell ref="AK1:AK2"/>
    <mergeCell ref="AR1:AS1"/>
    <mergeCell ref="Q1:Q2"/>
    <mergeCell ref="R1:R2"/>
    <mergeCell ref="S1:S2"/>
    <mergeCell ref="T1:T2"/>
    <mergeCell ref="AL1:AL2"/>
    <mergeCell ref="U1:U2"/>
    <mergeCell ref="V1:AJ1"/>
    <mergeCell ref="AM1:AM2"/>
    <mergeCell ref="AN1:AN2"/>
    <mergeCell ref="AP1:AQ1"/>
    <mergeCell ref="P1:P2"/>
    <mergeCell ref="D1:D2"/>
    <mergeCell ref="E1:E2"/>
    <mergeCell ref="K1:K2"/>
    <mergeCell ref="L1:M1"/>
    <mergeCell ref="N1:N2"/>
    <mergeCell ref="O1:O2"/>
    <mergeCell ref="F1:F2"/>
    <mergeCell ref="G1:G2"/>
    <mergeCell ref="H1:H2"/>
    <mergeCell ref="I1:I2"/>
    <mergeCell ref="J1:J2"/>
  </mergeCells>
  <phoneticPr fontId="1" type="noConversion"/>
  <conditionalFormatting sqref="AN3:AN1048576">
    <cfRule type="cellIs" dxfId="17" priority="3" operator="lessThan">
      <formula>0</formula>
    </cfRule>
  </conditionalFormatting>
  <conditionalFormatting sqref="AN1:AN2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Z8 Z10 AF8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3"/>
  <sheetViews>
    <sheetView zoomScaleNormal="100" workbookViewId="0">
      <selection sqref="A1:B1"/>
    </sheetView>
  </sheetViews>
  <sheetFormatPr defaultColWidth="8.796875" defaultRowHeight="14" x14ac:dyDescent="0.3"/>
  <cols>
    <col min="1" max="1" width="19.09765625" style="9" customWidth="1"/>
    <col min="2" max="2" width="7.19921875" style="9" customWidth="1"/>
    <col min="3" max="3" width="8.796875" style="9"/>
    <col min="4" max="8" width="6.09765625" style="9" bestFit="1" customWidth="1"/>
    <col min="9" max="9" width="36.59765625" style="9" bestFit="1" customWidth="1"/>
    <col min="10" max="10" width="10.5" style="9" customWidth="1"/>
    <col min="11" max="21" width="8.19921875" style="9" customWidth="1"/>
    <col min="22" max="22" width="6" style="9" customWidth="1"/>
    <col min="23" max="23" width="10.5" style="9" customWidth="1"/>
    <col min="24" max="24" width="6" style="9" customWidth="1"/>
    <col min="25" max="25" width="10.5" style="9" customWidth="1"/>
    <col min="26" max="27" width="6" style="9" customWidth="1"/>
    <col min="28" max="29" width="10.8984375" style="9" bestFit="1" customWidth="1"/>
    <col min="30" max="31" width="9.69921875" style="9" bestFit="1" customWidth="1"/>
    <col min="32" max="33" width="10.8984375" style="9" bestFit="1" customWidth="1"/>
    <col min="34" max="34" width="9.69921875" style="9" bestFit="1" customWidth="1"/>
    <col min="35" max="35" width="12.09765625" style="9" bestFit="1" customWidth="1"/>
    <col min="36" max="36" width="9.296875" style="9" customWidth="1"/>
    <col min="37" max="37" width="8.19921875" style="9" customWidth="1"/>
    <col min="38" max="38" width="12.09765625" style="9" bestFit="1" customWidth="1"/>
    <col min="39" max="39" width="12.09765625" style="18" bestFit="1" customWidth="1"/>
    <col min="40" max="40" width="13.296875" style="9" bestFit="1" customWidth="1"/>
    <col min="41" max="41" width="8.796875" style="9"/>
    <col min="42" max="44" width="8.8984375" style="9" bestFit="1" customWidth="1"/>
    <col min="45" max="45" width="10.09765625" style="9" customWidth="1"/>
    <col min="46" max="46" width="18" style="9" customWidth="1"/>
    <col min="47" max="16384" width="8.796875" style="9"/>
  </cols>
  <sheetData>
    <row r="1" spans="1:46" ht="14.5" customHeight="1" x14ac:dyDescent="0.3">
      <c r="A1" s="196" t="s">
        <v>347</v>
      </c>
      <c r="B1" s="196"/>
      <c r="C1" s="88"/>
      <c r="D1" s="191" t="s">
        <v>290</v>
      </c>
      <c r="E1" s="191" t="s">
        <v>291</v>
      </c>
      <c r="F1" s="191" t="s">
        <v>292</v>
      </c>
      <c r="G1" s="191" t="s">
        <v>293</v>
      </c>
      <c r="H1" s="191" t="s">
        <v>294</v>
      </c>
      <c r="I1" s="193" t="s">
        <v>295</v>
      </c>
      <c r="J1" s="189" t="s">
        <v>296</v>
      </c>
      <c r="K1" s="189" t="s">
        <v>297</v>
      </c>
      <c r="L1" s="196" t="s">
        <v>298</v>
      </c>
      <c r="M1" s="196"/>
      <c r="N1" s="187" t="s">
        <v>299</v>
      </c>
      <c r="O1" s="187" t="s">
        <v>300</v>
      </c>
      <c r="P1" s="187" t="s">
        <v>301</v>
      </c>
      <c r="Q1" s="187" t="s">
        <v>302</v>
      </c>
      <c r="R1" s="187" t="s">
        <v>303</v>
      </c>
      <c r="S1" s="187" t="s">
        <v>304</v>
      </c>
      <c r="T1" s="187" t="s">
        <v>305</v>
      </c>
      <c r="U1" s="189" t="s">
        <v>306</v>
      </c>
      <c r="V1" s="196" t="s">
        <v>307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7" t="s">
        <v>154</v>
      </c>
      <c r="AL1" s="189" t="s">
        <v>308</v>
      </c>
      <c r="AM1" s="189" t="s">
        <v>309</v>
      </c>
      <c r="AN1" s="189" t="s">
        <v>310</v>
      </c>
      <c r="AO1" s="88"/>
      <c r="AP1" s="199" t="s">
        <v>350</v>
      </c>
      <c r="AQ1" s="199"/>
      <c r="AR1" s="199" t="s">
        <v>351</v>
      </c>
      <c r="AS1" s="199"/>
      <c r="AT1" s="106" t="s">
        <v>352</v>
      </c>
    </row>
    <row r="2" spans="1:46" ht="14.5" x14ac:dyDescent="0.3">
      <c r="A2" s="100" t="s">
        <v>348</v>
      </c>
      <c r="B2" s="101" t="s">
        <v>349</v>
      </c>
      <c r="C2" s="88"/>
      <c r="D2" s="192"/>
      <c r="E2" s="192"/>
      <c r="F2" s="192"/>
      <c r="G2" s="192"/>
      <c r="H2" s="192"/>
      <c r="I2" s="192"/>
      <c r="J2" s="190"/>
      <c r="K2" s="190"/>
      <c r="L2" s="91" t="s">
        <v>315</v>
      </c>
      <c r="M2" s="91" t="s">
        <v>316</v>
      </c>
      <c r="N2" s="188"/>
      <c r="O2" s="188"/>
      <c r="P2" s="188"/>
      <c r="Q2" s="188"/>
      <c r="R2" s="188"/>
      <c r="S2" s="188"/>
      <c r="T2" s="188"/>
      <c r="U2" s="190"/>
      <c r="V2" s="91" t="s">
        <v>317</v>
      </c>
      <c r="W2" s="91" t="s">
        <v>318</v>
      </c>
      <c r="X2" s="91" t="s">
        <v>319</v>
      </c>
      <c r="Y2" s="91" t="s">
        <v>320</v>
      </c>
      <c r="Z2" s="91" t="s">
        <v>321</v>
      </c>
      <c r="AA2" s="91" t="s">
        <v>322</v>
      </c>
      <c r="AB2" s="91" t="s">
        <v>323</v>
      </c>
      <c r="AC2" s="91" t="s">
        <v>324</v>
      </c>
      <c r="AD2" s="91" t="s">
        <v>325</v>
      </c>
      <c r="AE2" s="91" t="s">
        <v>326</v>
      </c>
      <c r="AF2" s="91" t="s">
        <v>327</v>
      </c>
      <c r="AG2" s="91" t="s">
        <v>328</v>
      </c>
      <c r="AH2" s="91" t="s">
        <v>329</v>
      </c>
      <c r="AI2" s="91" t="s">
        <v>330</v>
      </c>
      <c r="AJ2" s="91" t="s">
        <v>331</v>
      </c>
      <c r="AK2" s="198"/>
      <c r="AL2" s="190"/>
      <c r="AM2" s="190"/>
      <c r="AN2" s="190"/>
      <c r="AO2" s="88"/>
      <c r="AP2" s="92" t="s">
        <v>353</v>
      </c>
      <c r="AQ2" s="92" t="s">
        <v>354</v>
      </c>
      <c r="AR2" s="92" t="s">
        <v>353</v>
      </c>
      <c r="AS2" s="92" t="s">
        <v>354</v>
      </c>
      <c r="AT2" s="92" t="s">
        <v>353</v>
      </c>
    </row>
    <row r="3" spans="1:46" ht="14.5" x14ac:dyDescent="0.3">
      <c r="A3" s="88" t="s">
        <v>332</v>
      </c>
      <c r="B3" s="93">
        <v>0.02</v>
      </c>
      <c r="C3" s="88"/>
      <c r="D3" s="94">
        <v>0</v>
      </c>
      <c r="E3" s="94">
        <v>40</v>
      </c>
      <c r="F3" s="94">
        <v>40</v>
      </c>
      <c r="G3" s="94">
        <v>13</v>
      </c>
      <c r="H3" s="94">
        <v>11</v>
      </c>
      <c r="I3" s="88"/>
      <c r="J3" s="117"/>
      <c r="K3" s="116"/>
      <c r="L3" s="117">
        <v>54</v>
      </c>
      <c r="M3" s="117">
        <v>84</v>
      </c>
      <c r="N3" s="117">
        <v>2</v>
      </c>
      <c r="O3" s="117">
        <v>5</v>
      </c>
      <c r="P3" s="117"/>
      <c r="Q3" s="117"/>
      <c r="R3" s="117"/>
      <c r="S3" s="117"/>
      <c r="T3" s="117"/>
      <c r="U3" s="117">
        <f>SUM(L3:T3)</f>
        <v>145</v>
      </c>
      <c r="V3" s="117">
        <v>38.4</v>
      </c>
      <c r="W3" s="117">
        <v>5</v>
      </c>
      <c r="X3" s="117">
        <v>12</v>
      </c>
      <c r="Y3" s="117">
        <v>3</v>
      </c>
      <c r="Z3" s="117">
        <v>22.8</v>
      </c>
      <c r="AA3" s="117">
        <v>4.08</v>
      </c>
      <c r="AB3" s="117">
        <v>4.5</v>
      </c>
      <c r="AC3" s="117">
        <v>13.6</v>
      </c>
      <c r="AD3" s="117">
        <v>4.88</v>
      </c>
      <c r="AE3" s="117">
        <v>3.8</v>
      </c>
      <c r="AF3" s="117">
        <v>13</v>
      </c>
      <c r="AG3" s="117">
        <v>12</v>
      </c>
      <c r="AH3" s="117">
        <v>6.2</v>
      </c>
      <c r="AI3" s="117"/>
      <c r="AJ3" s="117"/>
      <c r="AK3" s="117"/>
      <c r="AL3" s="117">
        <f>SUM(V3:AK3)</f>
        <v>143.26</v>
      </c>
      <c r="AM3" s="111">
        <f t="shared" ref="AM3:AM34" si="0">U3-AL3</f>
        <v>1.7400000000000091</v>
      </c>
      <c r="AN3" s="111">
        <v>55</v>
      </c>
      <c r="AO3" s="88"/>
      <c r="AR3" s="9">
        <v>90</v>
      </c>
      <c r="AS3" s="9">
        <v>90</v>
      </c>
      <c r="AT3" s="9">
        <v>50</v>
      </c>
    </row>
    <row r="4" spans="1:46" ht="14.5" x14ac:dyDescent="0.3">
      <c r="A4" s="88" t="s">
        <v>333</v>
      </c>
      <c r="B4" s="93">
        <v>0.02</v>
      </c>
      <c r="C4" s="88"/>
      <c r="D4" s="94">
        <v>1</v>
      </c>
      <c r="E4" s="94">
        <v>41</v>
      </c>
      <c r="F4" s="94">
        <v>41</v>
      </c>
      <c r="G4" s="94">
        <v>14</v>
      </c>
      <c r="H4" s="94">
        <v>12</v>
      </c>
      <c r="I4" s="88"/>
      <c r="J4" s="117">
        <f>AN3</f>
        <v>55</v>
      </c>
      <c r="K4" s="116">
        <v>0.04</v>
      </c>
      <c r="L4" s="117">
        <f t="shared" ref="L4:L27" si="1">L3*(1+$B$4)</f>
        <v>55.08</v>
      </c>
      <c r="M4" s="117">
        <f t="shared" ref="M4:M27" si="2">M3*(1+$B$5)</f>
        <v>84.84</v>
      </c>
      <c r="N4" s="117">
        <f>J4*K4</f>
        <v>2.2000000000000002</v>
      </c>
      <c r="O4" s="117">
        <f>O3*(1+$B$3)</f>
        <v>5.0999999999999996</v>
      </c>
      <c r="P4" s="117"/>
      <c r="Q4" s="117"/>
      <c r="R4" s="117"/>
      <c r="S4" s="117"/>
      <c r="T4" s="117"/>
      <c r="U4" s="117">
        <f t="shared" ref="U4:U52" si="3">SUM(L4:T4)</f>
        <v>147.22</v>
      </c>
      <c r="V4" s="117">
        <v>38.4</v>
      </c>
      <c r="W4" s="117">
        <f>W3*(1+$B$3)</f>
        <v>5.0999999999999996</v>
      </c>
      <c r="X4" s="117">
        <v>12</v>
      </c>
      <c r="Y4" s="117">
        <f>Y3*(1+$B$3)</f>
        <v>3.06</v>
      </c>
      <c r="Z4" s="117">
        <f t="shared" ref="Y4:Z8" si="4">Z3*(1+$B$3)</f>
        <v>23.256</v>
      </c>
      <c r="AA4" s="117">
        <v>4.08</v>
      </c>
      <c r="AB4" s="117">
        <v>4.7</v>
      </c>
      <c r="AC4" s="117">
        <v>13.6</v>
      </c>
      <c r="AD4" s="117">
        <f>AD3*(1+$B$3)</f>
        <v>4.9775999999999998</v>
      </c>
      <c r="AE4" s="117">
        <f t="shared" ref="AD4:AF8" si="5">AE3*(1+$B$3)</f>
        <v>3.8759999999999999</v>
      </c>
      <c r="AF4" s="117">
        <f>AF3*(1+$B$3)</f>
        <v>13.26</v>
      </c>
      <c r="AG4" s="117">
        <v>12</v>
      </c>
      <c r="AH4" s="117">
        <f>AH3*(1+$B$3)</f>
        <v>6.3240000000000007</v>
      </c>
      <c r="AI4" s="117"/>
      <c r="AJ4" s="117"/>
      <c r="AK4" s="124">
        <v>-5</v>
      </c>
      <c r="AL4" s="117">
        <f t="shared" ref="AL4:AL53" si="6">SUM(V4:AK4)</f>
        <v>139.6336</v>
      </c>
      <c r="AM4" s="127">
        <f>U4-AL4</f>
        <v>7.5863999999999976</v>
      </c>
      <c r="AN4" s="111">
        <f t="shared" ref="AN4:AN35" si="7">J4+AM4</f>
        <v>62.586399999999998</v>
      </c>
      <c r="AO4" s="88"/>
      <c r="AP4" s="81">
        <f t="shared" ref="AP4:AP27" si="8">L4*0.06</f>
        <v>3.3047999999999997</v>
      </c>
      <c r="AQ4" s="81">
        <f>3.82*12*0.06</f>
        <v>2.7503999999999995</v>
      </c>
      <c r="AR4" s="112">
        <f t="shared" ref="AR4:AR27" si="9">AR3*(1+$B$6)+AP4</f>
        <v>96.904800000000009</v>
      </c>
      <c r="AS4" s="112">
        <f t="shared" ref="AS4:AS27" si="10">AS3*(1+$B$6)+AQ4</f>
        <v>96.350400000000008</v>
      </c>
      <c r="AT4" s="112">
        <f t="shared" ref="AT4:AT13" si="11">AT3*(1+$B$7) + 6</f>
        <v>58</v>
      </c>
    </row>
    <row r="5" spans="1:46" ht="14.5" x14ac:dyDescent="0.3">
      <c r="A5" s="88" t="s">
        <v>334</v>
      </c>
      <c r="B5" s="93">
        <v>0.01</v>
      </c>
      <c r="C5" s="88"/>
      <c r="D5" s="94">
        <v>2</v>
      </c>
      <c r="E5" s="94">
        <v>42</v>
      </c>
      <c r="F5" s="94">
        <v>42</v>
      </c>
      <c r="G5" s="94">
        <v>15</v>
      </c>
      <c r="H5" s="94">
        <v>13</v>
      </c>
      <c r="I5" s="88"/>
      <c r="J5" s="117">
        <f>AN4</f>
        <v>62.586399999999998</v>
      </c>
      <c r="K5" s="116">
        <v>0.04</v>
      </c>
      <c r="L5" s="117">
        <f t="shared" si="1"/>
        <v>56.181599999999996</v>
      </c>
      <c r="M5" s="117">
        <f t="shared" si="2"/>
        <v>85.688400000000001</v>
      </c>
      <c r="N5" s="117">
        <f>J5*K5</f>
        <v>2.5034559999999999</v>
      </c>
      <c r="O5" s="117">
        <f t="shared" ref="O5:Q30" si="12">O4*(1+$B$3)</f>
        <v>5.202</v>
      </c>
      <c r="P5" s="117"/>
      <c r="Q5" s="117"/>
      <c r="R5" s="117"/>
      <c r="S5" s="117"/>
      <c r="T5" s="117"/>
      <c r="U5" s="117">
        <f t="shared" si="3"/>
        <v>149.575456</v>
      </c>
      <c r="V5" s="117">
        <v>38.4</v>
      </c>
      <c r="W5" s="117">
        <f>W4*(1+$B$3)</f>
        <v>5.202</v>
      </c>
      <c r="X5" s="117">
        <v>12</v>
      </c>
      <c r="Y5" s="117">
        <f t="shared" si="4"/>
        <v>3.1212</v>
      </c>
      <c r="Z5" s="117">
        <f t="shared" si="4"/>
        <v>23.721119999999999</v>
      </c>
      <c r="AA5" s="117">
        <v>4.08</v>
      </c>
      <c r="AB5" s="117">
        <v>4.9000000000000004</v>
      </c>
      <c r="AC5" s="117">
        <v>13.6</v>
      </c>
      <c r="AD5" s="117">
        <f t="shared" si="5"/>
        <v>5.0771519999999999</v>
      </c>
      <c r="AE5" s="117">
        <f t="shared" si="5"/>
        <v>3.9535200000000001</v>
      </c>
      <c r="AF5" s="117">
        <f t="shared" si="5"/>
        <v>13.5252</v>
      </c>
      <c r="AG5" s="117">
        <v>12</v>
      </c>
      <c r="AH5" s="117">
        <f t="shared" ref="AH5:AH23" si="13">AH4*(1+$B$3)</f>
        <v>6.4504800000000007</v>
      </c>
      <c r="AI5" s="117"/>
      <c r="AJ5" s="117"/>
      <c r="AK5" s="124">
        <v>-5</v>
      </c>
      <c r="AL5" s="117">
        <f t="shared" si="6"/>
        <v>141.03067200000001</v>
      </c>
      <c r="AM5" s="111">
        <f t="shared" si="0"/>
        <v>8.5447839999999928</v>
      </c>
      <c r="AN5" s="111">
        <f t="shared" si="7"/>
        <v>71.13118399999999</v>
      </c>
      <c r="AO5" s="88"/>
      <c r="AP5" s="81">
        <f t="shared" si="8"/>
        <v>3.3708959999999997</v>
      </c>
      <c r="AQ5" s="81">
        <f t="shared" ref="AQ5:AQ27" si="14">3.82*12*0.06</f>
        <v>2.7503999999999995</v>
      </c>
      <c r="AR5" s="112">
        <f t="shared" si="9"/>
        <v>104.15188800000001</v>
      </c>
      <c r="AS5" s="112">
        <f t="shared" si="10"/>
        <v>102.95481600000001</v>
      </c>
      <c r="AT5" s="112">
        <f t="shared" si="11"/>
        <v>66.319999999999993</v>
      </c>
    </row>
    <row r="6" spans="1:46" ht="14.5" x14ac:dyDescent="0.3">
      <c r="A6" s="88" t="s">
        <v>335</v>
      </c>
      <c r="B6" s="93">
        <v>0.04</v>
      </c>
      <c r="C6" s="88"/>
      <c r="D6" s="94">
        <v>3</v>
      </c>
      <c r="E6" s="94">
        <v>43</v>
      </c>
      <c r="F6" s="94">
        <v>43</v>
      </c>
      <c r="G6" s="94">
        <v>16</v>
      </c>
      <c r="H6" s="94">
        <v>14</v>
      </c>
      <c r="I6" s="88"/>
      <c r="J6" s="117">
        <f>AN5</f>
        <v>71.13118399999999</v>
      </c>
      <c r="K6" s="116">
        <v>0.04</v>
      </c>
      <c r="L6" s="117">
        <f t="shared" si="1"/>
        <v>57.305231999999997</v>
      </c>
      <c r="M6" s="117">
        <f t="shared" si="2"/>
        <v>86.545283999999995</v>
      </c>
      <c r="N6" s="117">
        <f>J6*K6</f>
        <v>2.8452473599999997</v>
      </c>
      <c r="O6" s="117">
        <f t="shared" si="12"/>
        <v>5.3060400000000003</v>
      </c>
      <c r="P6" s="117"/>
      <c r="Q6" s="117"/>
      <c r="R6" s="117"/>
      <c r="S6" s="117"/>
      <c r="T6" s="117"/>
      <c r="U6" s="117">
        <f t="shared" si="3"/>
        <v>152.00180336</v>
      </c>
      <c r="V6" s="117">
        <v>38.4</v>
      </c>
      <c r="W6" s="117">
        <f>W5*(1+$B$3)</f>
        <v>5.3060400000000003</v>
      </c>
      <c r="X6" s="117">
        <v>12</v>
      </c>
      <c r="Y6" s="117">
        <f t="shared" si="4"/>
        <v>3.183624</v>
      </c>
      <c r="Z6" s="117">
        <f t="shared" si="4"/>
        <v>24.195542400000001</v>
      </c>
      <c r="AA6" s="117">
        <v>4.08</v>
      </c>
      <c r="AB6" s="117">
        <v>5.3</v>
      </c>
      <c r="AC6" s="117">
        <v>13.6</v>
      </c>
      <c r="AD6" s="117">
        <f t="shared" si="5"/>
        <v>5.17869504</v>
      </c>
      <c r="AE6" s="117">
        <f t="shared" si="5"/>
        <v>4.0325904000000001</v>
      </c>
      <c r="AF6" s="117">
        <f t="shared" si="5"/>
        <v>13.795704000000001</v>
      </c>
      <c r="AG6" s="117">
        <v>12</v>
      </c>
      <c r="AH6" s="117">
        <f t="shared" si="13"/>
        <v>6.5794896000000005</v>
      </c>
      <c r="AI6" s="117"/>
      <c r="AJ6" s="117"/>
      <c r="AK6" s="124">
        <v>-5</v>
      </c>
      <c r="AL6" s="117">
        <f t="shared" si="6"/>
        <v>142.65168543999999</v>
      </c>
      <c r="AM6" s="111">
        <f t="shared" si="0"/>
        <v>9.3501179200000024</v>
      </c>
      <c r="AN6" s="111">
        <f t="shared" si="7"/>
        <v>80.481301919999993</v>
      </c>
      <c r="AO6" s="88"/>
      <c r="AP6" s="81">
        <f t="shared" si="8"/>
        <v>3.4383139199999997</v>
      </c>
      <c r="AQ6" s="81">
        <f t="shared" si="14"/>
        <v>2.7503999999999995</v>
      </c>
      <c r="AR6" s="112">
        <f t="shared" si="9"/>
        <v>111.75627744000002</v>
      </c>
      <c r="AS6" s="112">
        <f t="shared" si="10"/>
        <v>109.82340864000001</v>
      </c>
      <c r="AT6" s="112">
        <f t="shared" si="11"/>
        <v>74.972799999999992</v>
      </c>
    </row>
    <row r="7" spans="1:46" ht="14.5" x14ac:dyDescent="0.3">
      <c r="A7" s="95" t="s">
        <v>336</v>
      </c>
      <c r="B7" s="96">
        <v>0.04</v>
      </c>
      <c r="C7" s="88"/>
      <c r="D7" s="94">
        <v>4</v>
      </c>
      <c r="E7" s="94">
        <v>44</v>
      </c>
      <c r="F7" s="94">
        <v>44</v>
      </c>
      <c r="G7" s="94">
        <v>17</v>
      </c>
      <c r="H7" s="94">
        <v>15</v>
      </c>
      <c r="I7" s="88" t="s">
        <v>337</v>
      </c>
      <c r="J7" s="117">
        <f>AN6</f>
        <v>80.481301919999993</v>
      </c>
      <c r="K7" s="116">
        <v>0.04</v>
      </c>
      <c r="L7" s="117">
        <f t="shared" si="1"/>
        <v>58.451336640000001</v>
      </c>
      <c r="M7" s="117">
        <f t="shared" si="2"/>
        <v>87.410736839999998</v>
      </c>
      <c r="N7" s="117">
        <f>J7*K7</f>
        <v>3.2192520767999997</v>
      </c>
      <c r="O7" s="117">
        <f t="shared" si="12"/>
        <v>5.4121608000000005</v>
      </c>
      <c r="P7" s="117"/>
      <c r="Q7" s="117"/>
      <c r="R7" s="117"/>
      <c r="S7" s="117"/>
      <c r="T7" s="117"/>
      <c r="U7" s="117">
        <f t="shared" si="3"/>
        <v>154.49348635679999</v>
      </c>
      <c r="V7" s="117">
        <v>38.4</v>
      </c>
      <c r="W7" s="117">
        <f>W6*(1+$B$3)</f>
        <v>5.4121608000000005</v>
      </c>
      <c r="X7" s="117">
        <v>12</v>
      </c>
      <c r="Y7" s="117">
        <f t="shared" si="4"/>
        <v>3.2472964800000002</v>
      </c>
      <c r="Z7" s="117">
        <f t="shared" si="4"/>
        <v>24.679453248000002</v>
      </c>
      <c r="AA7" s="117">
        <v>4.08</v>
      </c>
      <c r="AB7" s="117">
        <v>5.5</v>
      </c>
      <c r="AC7" s="117">
        <v>13.6</v>
      </c>
      <c r="AD7" s="117">
        <f t="shared" si="5"/>
        <v>5.2822689407999999</v>
      </c>
      <c r="AE7" s="117">
        <f t="shared" si="5"/>
        <v>4.113242208</v>
      </c>
      <c r="AF7" s="117">
        <f t="shared" si="5"/>
        <v>14.07161808</v>
      </c>
      <c r="AG7" s="117">
        <v>12</v>
      </c>
      <c r="AH7" s="117">
        <f t="shared" si="13"/>
        <v>6.7110793920000003</v>
      </c>
      <c r="AI7" s="117"/>
      <c r="AJ7" s="117">
        <f>理財目標費用終值!D16</f>
        <v>21.648643199999999</v>
      </c>
      <c r="AK7" s="124">
        <v>-5</v>
      </c>
      <c r="AL7" s="117">
        <f t="shared" si="6"/>
        <v>165.74576234879999</v>
      </c>
      <c r="AM7" s="111">
        <f t="shared" si="0"/>
        <v>-11.252275991999994</v>
      </c>
      <c r="AN7" s="111">
        <f t="shared" si="7"/>
        <v>69.229025927999999</v>
      </c>
      <c r="AO7" s="88"/>
      <c r="AP7" s="81">
        <f t="shared" si="8"/>
        <v>3.5070801983999997</v>
      </c>
      <c r="AQ7" s="81">
        <f t="shared" si="14"/>
        <v>2.7503999999999995</v>
      </c>
      <c r="AR7" s="112">
        <f t="shared" si="9"/>
        <v>119.73360873600002</v>
      </c>
      <c r="AS7" s="112">
        <f t="shared" si="10"/>
        <v>116.96674498560002</v>
      </c>
      <c r="AT7" s="112">
        <f t="shared" si="11"/>
        <v>83.971711999999997</v>
      </c>
    </row>
    <row r="8" spans="1:46" ht="14.5" x14ac:dyDescent="0.3">
      <c r="C8" s="88"/>
      <c r="D8" s="94">
        <v>5</v>
      </c>
      <c r="E8" s="94">
        <v>45</v>
      </c>
      <c r="F8" s="94">
        <v>45</v>
      </c>
      <c r="G8" s="94">
        <v>18</v>
      </c>
      <c r="H8" s="94">
        <v>16</v>
      </c>
      <c r="I8" s="88" t="s">
        <v>338</v>
      </c>
      <c r="J8" s="117">
        <f>AN7</f>
        <v>69.229025927999999</v>
      </c>
      <c r="K8" s="116">
        <v>0.04</v>
      </c>
      <c r="L8" s="117">
        <f t="shared" si="1"/>
        <v>59.6203633728</v>
      </c>
      <c r="M8" s="117">
        <f t="shared" si="2"/>
        <v>88.284844208400003</v>
      </c>
      <c r="N8" s="117">
        <f>J8*K8</f>
        <v>2.7691610371199999</v>
      </c>
      <c r="O8" s="117">
        <f t="shared" si="12"/>
        <v>5.5204040160000005</v>
      </c>
      <c r="P8" s="117"/>
      <c r="Q8" s="117"/>
      <c r="R8" s="117"/>
      <c r="S8" s="117"/>
      <c r="T8" s="117"/>
      <c r="U8" s="117">
        <f t="shared" si="3"/>
        <v>156.19477263431997</v>
      </c>
      <c r="V8" s="117">
        <v>38.4</v>
      </c>
      <c r="W8" s="117">
        <f>W7*(1+$B$3)</f>
        <v>5.5204040160000005</v>
      </c>
      <c r="X8" s="117"/>
      <c r="Y8" s="117">
        <f t="shared" si="4"/>
        <v>3.3122424096</v>
      </c>
      <c r="Z8" s="117">
        <f>Z7*(1+$B$3)*(3/4)</f>
        <v>18.879781734720002</v>
      </c>
      <c r="AA8" s="117">
        <v>4.08</v>
      </c>
      <c r="AB8" s="117">
        <v>5.3</v>
      </c>
      <c r="AC8" s="117">
        <v>13.6</v>
      </c>
      <c r="AD8" s="117">
        <f t="shared" si="5"/>
        <v>5.3879143196159998</v>
      </c>
      <c r="AE8" s="117">
        <f t="shared" si="5"/>
        <v>4.19550705216</v>
      </c>
      <c r="AF8" s="117">
        <f>AF7*(1+$B$3)*0.5</f>
        <v>7.1765252208000003</v>
      </c>
      <c r="AG8" s="117">
        <v>12</v>
      </c>
      <c r="AH8" s="117">
        <f t="shared" si="13"/>
        <v>6.8453009798400002</v>
      </c>
      <c r="AI8" s="117"/>
      <c r="AJ8" s="117">
        <f>理財目標費用終值!D3</f>
        <v>27.602020079999999</v>
      </c>
      <c r="AK8" s="124">
        <v>-5</v>
      </c>
      <c r="AL8" s="117">
        <f t="shared" si="6"/>
        <v>147.29969581273599</v>
      </c>
      <c r="AM8" s="111">
        <f t="shared" si="0"/>
        <v>8.8950768215839844</v>
      </c>
      <c r="AN8" s="111">
        <f t="shared" si="7"/>
        <v>78.124102749583983</v>
      </c>
      <c r="AO8" s="88"/>
      <c r="AP8" s="81">
        <f t="shared" si="8"/>
        <v>3.5772218023679998</v>
      </c>
      <c r="AQ8" s="81">
        <f t="shared" si="14"/>
        <v>2.7503999999999995</v>
      </c>
      <c r="AR8" s="112">
        <f t="shared" si="9"/>
        <v>128.10017488780801</v>
      </c>
      <c r="AS8" s="112">
        <f t="shared" si="10"/>
        <v>124.39581478502402</v>
      </c>
      <c r="AT8" s="112">
        <f t="shared" si="11"/>
        <v>93.330580479999995</v>
      </c>
    </row>
    <row r="9" spans="1:46" ht="14.5" x14ac:dyDescent="0.3">
      <c r="A9" s="88"/>
      <c r="B9" s="97"/>
      <c r="C9" s="88"/>
      <c r="D9" s="94">
        <v>6</v>
      </c>
      <c r="E9" s="94">
        <v>46</v>
      </c>
      <c r="F9" s="94">
        <v>46</v>
      </c>
      <c r="G9" s="94">
        <v>19</v>
      </c>
      <c r="H9" s="94">
        <v>17</v>
      </c>
      <c r="I9" s="88" t="s">
        <v>339</v>
      </c>
      <c r="J9" s="117">
        <f t="shared" ref="J9:J53" si="15">AN8</f>
        <v>78.124102749583983</v>
      </c>
      <c r="K9" s="116">
        <v>0.04</v>
      </c>
      <c r="L9" s="117">
        <f t="shared" si="1"/>
        <v>60.812770640255998</v>
      </c>
      <c r="M9" s="117">
        <f t="shared" si="2"/>
        <v>89.167692650484</v>
      </c>
      <c r="N9" s="117">
        <v>3</v>
      </c>
      <c r="O9" s="117">
        <f t="shared" si="12"/>
        <v>5.6308120963200006</v>
      </c>
      <c r="P9" s="117"/>
      <c r="Q9" s="117"/>
      <c r="R9" s="117"/>
      <c r="S9" s="117"/>
      <c r="T9" s="117"/>
      <c r="U9" s="117">
        <f t="shared" si="3"/>
        <v>158.61127538706</v>
      </c>
      <c r="V9" s="117">
        <v>38.4</v>
      </c>
      <c r="W9" s="117">
        <v>6</v>
      </c>
      <c r="X9" s="117"/>
      <c r="Y9" s="117">
        <v>4</v>
      </c>
      <c r="Z9" s="117">
        <f>Z8*(1+$B$3)</f>
        <v>19.257377369414403</v>
      </c>
      <c r="AA9" s="117">
        <v>4.08</v>
      </c>
      <c r="AB9" s="117">
        <v>5.6</v>
      </c>
      <c r="AC9" s="117">
        <v>13.6</v>
      </c>
      <c r="AD9" s="117">
        <f t="shared" ref="AD9" si="16">AD8*(1+$B$3)</f>
        <v>5.4956726060083199</v>
      </c>
      <c r="AE9" s="117">
        <f>AE8*(1+$B$3)</f>
        <v>4.2794171932031997</v>
      </c>
      <c r="AF9" s="117">
        <f>AF8*(1+$B$3)</f>
        <v>7.3200557252160001</v>
      </c>
      <c r="AG9" s="117">
        <v>12</v>
      </c>
      <c r="AH9" s="117">
        <f t="shared" si="13"/>
        <v>6.9822069994368006</v>
      </c>
      <c r="AI9" s="117"/>
      <c r="AJ9" s="117">
        <f>理財目標費用終值!D4</f>
        <v>28.154060481600002</v>
      </c>
      <c r="AK9" s="124">
        <v>-5</v>
      </c>
      <c r="AL9" s="117">
        <f t="shared" si="6"/>
        <v>150.16879037487871</v>
      </c>
      <c r="AM9" s="111">
        <f t="shared" si="0"/>
        <v>8.4424850121812938</v>
      </c>
      <c r="AN9" s="111">
        <f t="shared" si="7"/>
        <v>86.566587761765277</v>
      </c>
      <c r="AO9" s="88"/>
      <c r="AP9" s="81">
        <f t="shared" si="8"/>
        <v>3.6487662384153596</v>
      </c>
      <c r="AQ9" s="81">
        <f t="shared" si="14"/>
        <v>2.7503999999999995</v>
      </c>
      <c r="AR9" s="112">
        <f t="shared" si="9"/>
        <v>136.8729481217357</v>
      </c>
      <c r="AS9" s="112">
        <f t="shared" si="10"/>
        <v>132.122047376425</v>
      </c>
      <c r="AT9" s="112">
        <f t="shared" si="11"/>
        <v>103.06380369919999</v>
      </c>
    </row>
    <row r="10" spans="1:46" ht="14.5" x14ac:dyDescent="0.3">
      <c r="A10" s="88"/>
      <c r="B10" s="97"/>
      <c r="C10" s="88"/>
      <c r="D10" s="94">
        <v>7</v>
      </c>
      <c r="E10" s="94">
        <v>47</v>
      </c>
      <c r="F10" s="94">
        <v>47</v>
      </c>
      <c r="G10" s="94">
        <v>20</v>
      </c>
      <c r="H10" s="94">
        <v>18</v>
      </c>
      <c r="I10" s="88" t="s">
        <v>340</v>
      </c>
      <c r="J10" s="117">
        <f t="shared" si="15"/>
        <v>86.566587761765277</v>
      </c>
      <c r="K10" s="116">
        <v>0.04</v>
      </c>
      <c r="L10" s="117">
        <f t="shared" si="1"/>
        <v>62.029026053061116</v>
      </c>
      <c r="M10" s="117">
        <f t="shared" si="2"/>
        <v>90.059369576988843</v>
      </c>
      <c r="N10" s="117">
        <f>J10*K10</f>
        <v>3.4626635104706112</v>
      </c>
      <c r="O10" s="117">
        <f t="shared" si="12"/>
        <v>5.7434283382464004</v>
      </c>
      <c r="P10" s="117"/>
      <c r="Q10" s="117"/>
      <c r="R10" s="117"/>
      <c r="S10" s="117"/>
      <c r="T10" s="117"/>
      <c r="U10" s="117">
        <f t="shared" si="3"/>
        <v>161.29448747876694</v>
      </c>
      <c r="V10" s="117">
        <v>38.4</v>
      </c>
      <c r="W10" s="117">
        <f t="shared" ref="W10:W26" si="17">W9*(1+$B$3)</f>
        <v>6.12</v>
      </c>
      <c r="X10" s="117"/>
      <c r="Y10" s="117">
        <f>Y9*(1+$B$3)</f>
        <v>4.08</v>
      </c>
      <c r="Z10" s="117">
        <f>Z9*(1+$B$3)*(2/3)</f>
        <v>13.095016611201794</v>
      </c>
      <c r="AA10" s="117">
        <v>4.08</v>
      </c>
      <c r="AB10" s="117">
        <v>5.0999999999999996</v>
      </c>
      <c r="AC10" s="117">
        <v>13.6</v>
      </c>
      <c r="AD10" s="117">
        <f t="shared" ref="AD10" si="18">AD9*(1+$B$3)</f>
        <v>5.6055860581284866</v>
      </c>
      <c r="AE10" s="117">
        <f t="shared" ref="AE10:AE25" si="19">AE9*(1+$B$3)</f>
        <v>4.3650055370672636</v>
      </c>
      <c r="AF10" s="117"/>
      <c r="AG10" s="117">
        <v>12</v>
      </c>
      <c r="AH10" s="117">
        <f t="shared" si="13"/>
        <v>7.1218511394255364</v>
      </c>
      <c r="AI10" s="117"/>
      <c r="AJ10" s="117">
        <f>理財目標費用終值!D5+理財目標費用終值!D8</f>
        <v>57.434283382463988</v>
      </c>
      <c r="AK10" s="124">
        <v>-5</v>
      </c>
      <c r="AL10" s="117">
        <f t="shared" si="6"/>
        <v>166.00174272828704</v>
      </c>
      <c r="AM10" s="111">
        <f t="shared" si="0"/>
        <v>-4.7072552495201023</v>
      </c>
      <c r="AN10" s="111">
        <f t="shared" si="7"/>
        <v>81.859332512245174</v>
      </c>
      <c r="AO10" s="88"/>
      <c r="AP10" s="81">
        <f t="shared" si="8"/>
        <v>3.721741563183667</v>
      </c>
      <c r="AQ10" s="81">
        <f t="shared" si="14"/>
        <v>2.7503999999999995</v>
      </c>
      <c r="AR10" s="112">
        <f t="shared" si="9"/>
        <v>146.06960760978879</v>
      </c>
      <c r="AS10" s="112">
        <f t="shared" si="10"/>
        <v>140.15732927148201</v>
      </c>
      <c r="AT10" s="112">
        <f t="shared" si="11"/>
        <v>113.186355847168</v>
      </c>
    </row>
    <row r="11" spans="1:46" ht="14.5" x14ac:dyDescent="0.3">
      <c r="A11" s="88"/>
      <c r="B11" s="97"/>
      <c r="C11" s="88"/>
      <c r="D11" s="94">
        <v>8</v>
      </c>
      <c r="E11" s="94">
        <v>48</v>
      </c>
      <c r="F11" s="94">
        <v>48</v>
      </c>
      <c r="G11" s="94">
        <v>21</v>
      </c>
      <c r="H11" s="94">
        <v>19</v>
      </c>
      <c r="I11" s="88" t="s">
        <v>341</v>
      </c>
      <c r="J11" s="117">
        <f t="shared" si="15"/>
        <v>81.859332512245174</v>
      </c>
      <c r="K11" s="116">
        <v>0.04</v>
      </c>
      <c r="L11" s="117">
        <f t="shared" si="1"/>
        <v>63.269606574122342</v>
      </c>
      <c r="M11" s="117">
        <f t="shared" si="2"/>
        <v>90.959963272758728</v>
      </c>
      <c r="N11" s="117">
        <f>J11*K11</f>
        <v>3.274373300489807</v>
      </c>
      <c r="O11" s="117">
        <f t="shared" si="12"/>
        <v>5.8582969050113283</v>
      </c>
      <c r="P11" s="117"/>
      <c r="Q11" s="117"/>
      <c r="R11" s="117"/>
      <c r="S11" s="117"/>
      <c r="T11" s="117"/>
      <c r="U11" s="117">
        <f t="shared" si="3"/>
        <v>163.36224005238219</v>
      </c>
      <c r="V11" s="117">
        <v>38.4</v>
      </c>
      <c r="W11" s="117">
        <f t="shared" si="17"/>
        <v>6.2423999999999999</v>
      </c>
      <c r="X11" s="117"/>
      <c r="Y11" s="117">
        <f>Y10*(1+$B$3)</f>
        <v>4.1616</v>
      </c>
      <c r="Z11" s="117">
        <f>Z10*(1+$B$3)</f>
        <v>13.35691694342583</v>
      </c>
      <c r="AA11" s="117">
        <v>4.08</v>
      </c>
      <c r="AB11" s="117">
        <v>5.8</v>
      </c>
      <c r="AC11" s="117">
        <v>13.6</v>
      </c>
      <c r="AD11" s="117">
        <f t="shared" ref="AD11" si="20">AD10*(1+$B$3)</f>
        <v>5.7176977792910568</v>
      </c>
      <c r="AE11" s="117">
        <f t="shared" si="19"/>
        <v>4.4523056478086085</v>
      </c>
      <c r="AF11" s="117"/>
      <c r="AG11" s="117">
        <v>12</v>
      </c>
      <c r="AH11" s="117">
        <f t="shared" si="13"/>
        <v>7.2642881622140472</v>
      </c>
      <c r="AI11" s="117"/>
      <c r="AJ11" s="117">
        <f>理財目標費用終值!D6+理財目標費用終值!D9+理財目標費用終值!D17</f>
        <v>82.01615667015858</v>
      </c>
      <c r="AK11" s="124">
        <v>-5</v>
      </c>
      <c r="AL11" s="117">
        <f t="shared" si="6"/>
        <v>192.09136520289812</v>
      </c>
      <c r="AM11" s="111">
        <f t="shared" si="0"/>
        <v>-28.729125150515927</v>
      </c>
      <c r="AN11" s="111">
        <f t="shared" si="7"/>
        <v>53.130207361729248</v>
      </c>
      <c r="AO11" s="88"/>
      <c r="AP11" s="81">
        <f t="shared" si="8"/>
        <v>3.7961763944473406</v>
      </c>
      <c r="AQ11" s="81">
        <f t="shared" si="14"/>
        <v>2.7503999999999995</v>
      </c>
      <c r="AR11" s="112">
        <f t="shared" si="9"/>
        <v>155.70856830862769</v>
      </c>
      <c r="AS11" s="112">
        <f t="shared" si="10"/>
        <v>148.51402244234131</v>
      </c>
      <c r="AT11" s="112">
        <f t="shared" si="11"/>
        <v>123.71381008105473</v>
      </c>
    </row>
    <row r="12" spans="1:46" ht="14.5" x14ac:dyDescent="0.3">
      <c r="A12" s="88"/>
      <c r="B12" s="97"/>
      <c r="C12" s="88"/>
      <c r="D12" s="94">
        <v>9</v>
      </c>
      <c r="E12" s="94">
        <v>49</v>
      </c>
      <c r="F12" s="94">
        <v>49</v>
      </c>
      <c r="G12" s="94">
        <v>22</v>
      </c>
      <c r="H12" s="94">
        <v>20</v>
      </c>
      <c r="I12" s="88" t="s">
        <v>342</v>
      </c>
      <c r="J12" s="117">
        <f t="shared" si="15"/>
        <v>53.130207361729248</v>
      </c>
      <c r="K12" s="116">
        <v>0.04</v>
      </c>
      <c r="L12" s="117">
        <f t="shared" si="1"/>
        <v>64.534998705604792</v>
      </c>
      <c r="M12" s="117">
        <f t="shared" si="2"/>
        <v>91.869562905486319</v>
      </c>
      <c r="N12" s="117">
        <f>J12*K12</f>
        <v>2.1252082944691701</v>
      </c>
      <c r="O12" s="117">
        <f t="shared" si="12"/>
        <v>5.9754628431115551</v>
      </c>
      <c r="P12" s="117"/>
      <c r="Q12" s="117"/>
      <c r="R12" s="117"/>
      <c r="S12" s="117"/>
      <c r="T12" s="117"/>
      <c r="U12" s="117">
        <f t="shared" si="3"/>
        <v>164.50523274867183</v>
      </c>
      <c r="V12" s="117">
        <v>38.4</v>
      </c>
      <c r="W12" s="117">
        <f t="shared" si="17"/>
        <v>6.367248</v>
      </c>
      <c r="X12" s="117"/>
      <c r="Y12" s="117">
        <f>Y11*(1+$B$3)</f>
        <v>4.2448319999999997</v>
      </c>
      <c r="Z12" s="117">
        <f>Z11*(1+$B$3)</f>
        <v>13.624055282294346</v>
      </c>
      <c r="AA12" s="117">
        <v>4.08</v>
      </c>
      <c r="AB12" s="117">
        <v>6.3</v>
      </c>
      <c r="AC12" s="117">
        <v>13.6</v>
      </c>
      <c r="AD12" s="117">
        <f t="shared" ref="AD12" si="21">AD11*(1+$B$3)</f>
        <v>5.8320517348768783</v>
      </c>
      <c r="AE12" s="117">
        <f t="shared" si="19"/>
        <v>4.5413517607647806</v>
      </c>
      <c r="AF12" s="117"/>
      <c r="AG12" s="117">
        <v>12</v>
      </c>
      <c r="AH12" s="117">
        <f t="shared" si="13"/>
        <v>7.4095739254583286</v>
      </c>
      <c r="AI12" s="117"/>
      <c r="AJ12" s="117">
        <f>理財目標費用終值!D10</f>
        <v>29.877314215557771</v>
      </c>
      <c r="AK12" s="124">
        <v>-5</v>
      </c>
      <c r="AL12" s="117">
        <f t="shared" si="6"/>
        <v>141.2764269189521</v>
      </c>
      <c r="AM12" s="111">
        <f t="shared" si="0"/>
        <v>23.228805829719732</v>
      </c>
      <c r="AN12" s="111">
        <f t="shared" si="7"/>
        <v>76.35901319144898</v>
      </c>
      <c r="AO12" s="88"/>
      <c r="AP12" s="81">
        <f t="shared" si="8"/>
        <v>3.8720999223362873</v>
      </c>
      <c r="AQ12" s="81">
        <f t="shared" si="14"/>
        <v>2.7503999999999995</v>
      </c>
      <c r="AR12" s="112">
        <f t="shared" si="9"/>
        <v>165.80901096330908</v>
      </c>
      <c r="AS12" s="112">
        <f t="shared" si="10"/>
        <v>157.204983340035</v>
      </c>
      <c r="AT12" s="112">
        <f t="shared" si="11"/>
        <v>134.66236248429692</v>
      </c>
    </row>
    <row r="13" spans="1:46" ht="14.5" x14ac:dyDescent="0.3">
      <c r="A13" s="88"/>
      <c r="B13" s="97"/>
      <c r="C13" s="88"/>
      <c r="D13" s="94">
        <v>10</v>
      </c>
      <c r="E13" s="94">
        <v>50</v>
      </c>
      <c r="F13" s="94">
        <v>50</v>
      </c>
      <c r="G13" s="94">
        <v>23</v>
      </c>
      <c r="H13" s="94">
        <v>21</v>
      </c>
      <c r="I13" s="88" t="s">
        <v>343</v>
      </c>
      <c r="J13" s="117">
        <f t="shared" si="15"/>
        <v>76.35901319144898</v>
      </c>
      <c r="K13" s="116">
        <v>0.04</v>
      </c>
      <c r="L13" s="117">
        <f t="shared" si="1"/>
        <v>65.825698679716893</v>
      </c>
      <c r="M13" s="117">
        <f t="shared" si="2"/>
        <v>92.788258534541185</v>
      </c>
      <c r="N13" s="117">
        <f>J13*K13</f>
        <v>3.0543605276579591</v>
      </c>
      <c r="O13" s="117">
        <f t="shared" si="12"/>
        <v>6.094972099973786</v>
      </c>
      <c r="P13" s="117"/>
      <c r="Q13" s="117"/>
      <c r="R13" s="117"/>
      <c r="S13" s="117"/>
      <c r="T13" s="117"/>
      <c r="U13" s="117">
        <f t="shared" si="3"/>
        <v>167.76328984188982</v>
      </c>
      <c r="V13" s="117">
        <v>38.4</v>
      </c>
      <c r="W13" s="117">
        <f t="shared" si="17"/>
        <v>6.4945929600000003</v>
      </c>
      <c r="X13" s="117"/>
      <c r="Y13" s="117">
        <f>Y12*(1+$B$3)</f>
        <v>4.3297286399999999</v>
      </c>
      <c r="Z13" s="117">
        <f>Z12*(1+$B$3)</f>
        <v>13.896536387940234</v>
      </c>
      <c r="AA13" s="117">
        <v>4.08</v>
      </c>
      <c r="AB13" s="117">
        <v>6.6</v>
      </c>
      <c r="AC13" s="117">
        <v>13.6</v>
      </c>
      <c r="AD13" s="117">
        <f t="shared" ref="AD13" si="22">AD12*(1+$B$3)</f>
        <v>5.9486927695744161</v>
      </c>
      <c r="AE13" s="117">
        <f t="shared" si="19"/>
        <v>4.6321787959800762</v>
      </c>
      <c r="AF13" s="117"/>
      <c r="AG13" s="117">
        <f>12*2</f>
        <v>24</v>
      </c>
      <c r="AH13" s="117">
        <f t="shared" si="13"/>
        <v>7.5577654039674957</v>
      </c>
      <c r="AI13" s="117"/>
      <c r="AJ13" s="124">
        <f>理財目標費用終值!D11</f>
        <v>30.474860499868928</v>
      </c>
      <c r="AK13" s="124">
        <v>-5</v>
      </c>
      <c r="AL13" s="117">
        <f t="shared" si="6"/>
        <v>155.01435545733113</v>
      </c>
      <c r="AM13" s="111">
        <f t="shared" si="0"/>
        <v>12.74893438455868</v>
      </c>
      <c r="AN13" s="111">
        <f t="shared" si="7"/>
        <v>89.10794757600766</v>
      </c>
      <c r="AO13" s="88"/>
      <c r="AP13" s="81">
        <f t="shared" si="8"/>
        <v>3.9495419207830134</v>
      </c>
      <c r="AQ13" s="81">
        <f t="shared" si="14"/>
        <v>2.7503999999999995</v>
      </c>
      <c r="AR13" s="112">
        <f t="shared" si="9"/>
        <v>176.39091332262447</v>
      </c>
      <c r="AS13" s="112">
        <f t="shared" si="10"/>
        <v>166.24358267363641</v>
      </c>
      <c r="AT13" s="112">
        <f t="shared" si="11"/>
        <v>146.0488569836688</v>
      </c>
    </row>
    <row r="14" spans="1:46" x14ac:dyDescent="0.3">
      <c r="A14" s="88"/>
      <c r="B14" s="97"/>
      <c r="C14" s="88"/>
      <c r="D14" s="94">
        <v>11</v>
      </c>
      <c r="E14" s="94">
        <v>51</v>
      </c>
      <c r="F14" s="94">
        <v>51</v>
      </c>
      <c r="G14" s="94">
        <v>24</v>
      </c>
      <c r="H14" s="94">
        <v>22</v>
      </c>
      <c r="I14" s="88"/>
      <c r="J14" s="117">
        <f t="shared" si="15"/>
        <v>89.10794757600766</v>
      </c>
      <c r="K14" s="116">
        <v>0.04</v>
      </c>
      <c r="L14" s="117">
        <f t="shared" si="1"/>
        <v>67.142212653311233</v>
      </c>
      <c r="M14" s="117">
        <f t="shared" si="2"/>
        <v>93.716141119886601</v>
      </c>
      <c r="N14" s="117">
        <f>J14*K14</f>
        <v>3.5643179030403065</v>
      </c>
      <c r="O14" s="117">
        <f t="shared" si="12"/>
        <v>6.2168715419732621</v>
      </c>
      <c r="P14" s="117"/>
      <c r="Q14" s="117"/>
      <c r="R14" s="117"/>
      <c r="S14" s="117"/>
      <c r="T14" s="117"/>
      <c r="U14" s="117">
        <f t="shared" si="3"/>
        <v>170.63954321821143</v>
      </c>
      <c r="V14" s="117">
        <v>38.4</v>
      </c>
      <c r="W14" s="117">
        <f t="shared" si="17"/>
        <v>6.6244848192000001</v>
      </c>
      <c r="X14" s="117"/>
      <c r="Y14" s="117">
        <f>Y13*(1+$B$3)</f>
        <v>4.4163232128000001</v>
      </c>
      <c r="Z14" s="117">
        <f>Z13*(1+$B$3)</f>
        <v>14.17446711569904</v>
      </c>
      <c r="AA14" s="117">
        <v>4.08</v>
      </c>
      <c r="AB14" s="117">
        <v>7.2</v>
      </c>
      <c r="AC14" s="117">
        <v>7.6</v>
      </c>
      <c r="AD14" s="117">
        <f t="shared" ref="AD14" si="23">AD13*(1+$B$3)</f>
        <v>6.0676666249659048</v>
      </c>
      <c r="AE14" s="117">
        <f t="shared" si="19"/>
        <v>4.7248223718996778</v>
      </c>
      <c r="AF14" s="117"/>
      <c r="AG14" s="117">
        <f t="shared" ref="AG14:AG23" si="24">12*2</f>
        <v>24</v>
      </c>
      <c r="AH14" s="117">
        <f t="shared" si="13"/>
        <v>7.7089207120468455</v>
      </c>
      <c r="AI14" s="117"/>
      <c r="AJ14" s="124">
        <f>理財目標費用終值!D13*(1+B3)</f>
        <v>87.036201587625655</v>
      </c>
      <c r="AK14" s="117"/>
      <c r="AL14" s="117">
        <f t="shared" si="6"/>
        <v>212.03288644423714</v>
      </c>
      <c r="AM14" s="111">
        <f t="shared" si="0"/>
        <v>-41.393343226025706</v>
      </c>
      <c r="AN14" s="111">
        <f t="shared" si="7"/>
        <v>47.714604349981954</v>
      </c>
      <c r="AO14" s="88"/>
      <c r="AP14" s="81">
        <f t="shared" si="8"/>
        <v>4.0285327591986739</v>
      </c>
      <c r="AQ14" s="81">
        <f t="shared" si="14"/>
        <v>2.7503999999999995</v>
      </c>
      <c r="AR14" s="112">
        <f t="shared" si="9"/>
        <v>187.47508261472814</v>
      </c>
      <c r="AS14" s="112">
        <f t="shared" si="10"/>
        <v>175.64372598058188</v>
      </c>
      <c r="AT14" s="112">
        <f t="shared" ref="AT14:AT27" si="25">AT13*(1+$B$7)</f>
        <v>151.89081126301556</v>
      </c>
    </row>
    <row r="15" spans="1:46" x14ac:dyDescent="0.3">
      <c r="A15" s="88"/>
      <c r="B15" s="98"/>
      <c r="C15" s="88"/>
      <c r="D15" s="94">
        <v>12</v>
      </c>
      <c r="E15" s="94">
        <v>52</v>
      </c>
      <c r="F15" s="94">
        <v>52</v>
      </c>
      <c r="G15" s="94">
        <v>25</v>
      </c>
      <c r="H15" s="94">
        <v>23</v>
      </c>
      <c r="I15" s="88"/>
      <c r="J15" s="117">
        <f t="shared" si="15"/>
        <v>47.714604349981954</v>
      </c>
      <c r="K15" s="116">
        <v>0.04</v>
      </c>
      <c r="L15" s="117">
        <f t="shared" si="1"/>
        <v>68.485056906377466</v>
      </c>
      <c r="M15" s="117">
        <f t="shared" si="2"/>
        <v>94.653302531085473</v>
      </c>
      <c r="N15" s="117">
        <v>4</v>
      </c>
      <c r="O15" s="117">
        <f t="shared" si="12"/>
        <v>6.3412089728127272</v>
      </c>
      <c r="P15" s="117"/>
      <c r="Q15" s="117"/>
      <c r="R15" s="117"/>
      <c r="S15" s="117"/>
      <c r="T15" s="117"/>
      <c r="U15" s="117">
        <f t="shared" si="3"/>
        <v>173.47956841027568</v>
      </c>
      <c r="V15" s="117">
        <v>38.4</v>
      </c>
      <c r="W15" s="117">
        <v>7</v>
      </c>
      <c r="X15" s="117"/>
      <c r="Y15" s="117">
        <v>5</v>
      </c>
      <c r="Z15" s="117">
        <f t="shared" ref="Z15:Z27" si="26">Z14*(1+$B$3)</f>
        <v>14.457956458013021</v>
      </c>
      <c r="AA15" s="117">
        <v>4.08</v>
      </c>
      <c r="AB15" s="117">
        <v>7.5</v>
      </c>
      <c r="AC15" s="117">
        <v>7.6</v>
      </c>
      <c r="AD15" s="117">
        <f t="shared" ref="AD15" si="27">AD14*(1+$B$3)</f>
        <v>6.1890199574652227</v>
      </c>
      <c r="AE15" s="117">
        <f t="shared" si="19"/>
        <v>4.8193188193376715</v>
      </c>
      <c r="AF15" s="117"/>
      <c r="AG15" s="117">
        <f t="shared" si="24"/>
        <v>24</v>
      </c>
      <c r="AH15" s="117">
        <f t="shared" si="13"/>
        <v>7.863099126287783</v>
      </c>
      <c r="AI15" s="117"/>
      <c r="AJ15" s="125"/>
      <c r="AK15" s="117"/>
      <c r="AL15" s="117">
        <f t="shared" si="6"/>
        <v>126.90939436110368</v>
      </c>
      <c r="AM15" s="111">
        <f t="shared" si="0"/>
        <v>46.570174049171996</v>
      </c>
      <c r="AN15" s="111">
        <f t="shared" si="7"/>
        <v>94.28477839915395</v>
      </c>
      <c r="AO15" s="88"/>
      <c r="AP15" s="81">
        <f t="shared" si="8"/>
        <v>4.1091034143826475</v>
      </c>
      <c r="AQ15" s="81">
        <f t="shared" si="14"/>
        <v>2.7503999999999995</v>
      </c>
      <c r="AR15" s="112">
        <f t="shared" si="9"/>
        <v>199.08318933369992</v>
      </c>
      <c r="AS15" s="112">
        <f t="shared" si="10"/>
        <v>185.41987501980518</v>
      </c>
      <c r="AT15" s="112">
        <f t="shared" si="25"/>
        <v>157.96644371353619</v>
      </c>
    </row>
    <row r="16" spans="1:46" x14ac:dyDescent="0.3">
      <c r="A16" s="88"/>
      <c r="B16" s="88"/>
      <c r="C16" s="88"/>
      <c r="D16" s="94">
        <v>13</v>
      </c>
      <c r="E16" s="94">
        <v>53</v>
      </c>
      <c r="F16" s="94">
        <v>53</v>
      </c>
      <c r="G16" s="94">
        <v>26</v>
      </c>
      <c r="H16" s="94">
        <v>24</v>
      </c>
      <c r="I16" s="88"/>
      <c r="J16" s="117">
        <f t="shared" si="15"/>
        <v>94.28477839915395</v>
      </c>
      <c r="K16" s="116">
        <v>0.04</v>
      </c>
      <c r="L16" s="117">
        <f t="shared" si="1"/>
        <v>69.854758044505019</v>
      </c>
      <c r="M16" s="117">
        <f t="shared" si="2"/>
        <v>95.599835556396329</v>
      </c>
      <c r="N16" s="117">
        <f t="shared" ref="N16:N53" si="28">J16*K16</f>
        <v>3.7713911359661583</v>
      </c>
      <c r="O16" s="117">
        <f t="shared" si="12"/>
        <v>6.4680331522689816</v>
      </c>
      <c r="P16" s="117"/>
      <c r="Q16" s="117"/>
      <c r="R16" s="117"/>
      <c r="S16" s="117"/>
      <c r="T16" s="117"/>
      <c r="U16" s="117">
        <f t="shared" si="3"/>
        <v>175.69401788913649</v>
      </c>
      <c r="V16" s="117">
        <v>38.4</v>
      </c>
      <c r="W16" s="117">
        <f>W15*(1+$B$3)</f>
        <v>7.1400000000000006</v>
      </c>
      <c r="X16" s="117"/>
      <c r="Y16" s="117">
        <f>Y15*(1+$B$3)</f>
        <v>5.0999999999999996</v>
      </c>
      <c r="Z16" s="117">
        <f t="shared" si="26"/>
        <v>14.747115587173282</v>
      </c>
      <c r="AA16" s="117">
        <v>4.08</v>
      </c>
      <c r="AB16" s="117">
        <v>7.8</v>
      </c>
      <c r="AC16" s="117">
        <v>7.6</v>
      </c>
      <c r="AD16" s="117">
        <f t="shared" ref="AD16" si="29">AD15*(1+$B$3)</f>
        <v>6.3128003566145274</v>
      </c>
      <c r="AE16" s="117">
        <f t="shared" si="19"/>
        <v>4.9157051957244251</v>
      </c>
      <c r="AF16" s="117"/>
      <c r="AG16" s="117">
        <f t="shared" si="24"/>
        <v>24</v>
      </c>
      <c r="AH16" s="117">
        <f t="shared" si="13"/>
        <v>8.0203611088135389</v>
      </c>
      <c r="AI16" s="117"/>
      <c r="AJ16" s="117"/>
      <c r="AK16" s="117"/>
      <c r="AL16" s="117">
        <f t="shared" si="6"/>
        <v>128.11598224832576</v>
      </c>
      <c r="AM16" s="111">
        <f t="shared" si="0"/>
        <v>47.578035640810725</v>
      </c>
      <c r="AN16" s="111">
        <f t="shared" si="7"/>
        <v>141.86281403996469</v>
      </c>
      <c r="AO16" s="88"/>
      <c r="AP16" s="81">
        <f t="shared" si="8"/>
        <v>4.1912854826703008</v>
      </c>
      <c r="AQ16" s="81">
        <f t="shared" si="14"/>
        <v>2.7503999999999995</v>
      </c>
      <c r="AR16" s="112">
        <f t="shared" si="9"/>
        <v>211.23780238971824</v>
      </c>
      <c r="AS16" s="112">
        <f t="shared" si="10"/>
        <v>195.58707002059739</v>
      </c>
      <c r="AT16" s="112">
        <f t="shared" si="25"/>
        <v>164.28510146207765</v>
      </c>
    </row>
    <row r="17" spans="1:46" x14ac:dyDescent="0.3">
      <c r="A17" s="88"/>
      <c r="B17" s="98"/>
      <c r="C17" s="88"/>
      <c r="D17" s="94">
        <v>14</v>
      </c>
      <c r="E17" s="94">
        <v>54</v>
      </c>
      <c r="F17" s="94">
        <v>54</v>
      </c>
      <c r="G17" s="94">
        <v>27</v>
      </c>
      <c r="H17" s="94">
        <v>25</v>
      </c>
      <c r="I17" s="88"/>
      <c r="J17" s="117">
        <f t="shared" si="15"/>
        <v>141.86281403996469</v>
      </c>
      <c r="K17" s="116">
        <v>0.04</v>
      </c>
      <c r="L17" s="117">
        <f t="shared" si="1"/>
        <v>71.251853205395122</v>
      </c>
      <c r="M17" s="117">
        <f t="shared" si="2"/>
        <v>96.555833911960292</v>
      </c>
      <c r="N17" s="117">
        <f t="shared" si="28"/>
        <v>5.6745125615985881</v>
      </c>
      <c r="O17" s="117">
        <f t="shared" si="12"/>
        <v>6.5973938153143612</v>
      </c>
      <c r="P17" s="117"/>
      <c r="Q17" s="117"/>
      <c r="R17" s="117"/>
      <c r="S17" s="117"/>
      <c r="T17" s="117"/>
      <c r="U17" s="117">
        <f t="shared" si="3"/>
        <v>180.07959349426835</v>
      </c>
      <c r="V17" s="117">
        <v>38.4</v>
      </c>
      <c r="W17" s="117">
        <f t="shared" si="17"/>
        <v>7.2828000000000008</v>
      </c>
      <c r="X17" s="117"/>
      <c r="Y17" s="117">
        <f>Y16*(1+$B$3)</f>
        <v>5.202</v>
      </c>
      <c r="Z17" s="117">
        <f t="shared" si="26"/>
        <v>15.042057898916747</v>
      </c>
      <c r="AA17" s="117">
        <v>4.08</v>
      </c>
      <c r="AB17" s="117">
        <v>8</v>
      </c>
      <c r="AC17" s="117">
        <v>7.6</v>
      </c>
      <c r="AD17" s="117">
        <f t="shared" ref="AD17" si="30">AD16*(1+$B$3)</f>
        <v>6.4390563637468183</v>
      </c>
      <c r="AE17" s="117">
        <f t="shared" si="19"/>
        <v>5.0140192996389139</v>
      </c>
      <c r="AF17" s="117"/>
      <c r="AG17" s="117">
        <f t="shared" si="24"/>
        <v>24</v>
      </c>
      <c r="AH17" s="117">
        <f t="shared" si="13"/>
        <v>8.1807683309898103</v>
      </c>
      <c r="AI17" s="117"/>
      <c r="AJ17" s="117"/>
      <c r="AK17" s="117"/>
      <c r="AL17" s="117">
        <f t="shared" si="6"/>
        <v>129.24070189329228</v>
      </c>
      <c r="AM17" s="111">
        <f t="shared" si="0"/>
        <v>50.838891600976069</v>
      </c>
      <c r="AN17" s="111">
        <f t="shared" si="7"/>
        <v>192.70170564094076</v>
      </c>
      <c r="AO17" s="88"/>
      <c r="AP17" s="81">
        <f t="shared" si="8"/>
        <v>4.2751111923237071</v>
      </c>
      <c r="AQ17" s="81">
        <f t="shared" si="14"/>
        <v>2.7503999999999995</v>
      </c>
      <c r="AR17" s="112">
        <f t="shared" si="9"/>
        <v>223.9624256776307</v>
      </c>
      <c r="AS17" s="112">
        <f t="shared" si="10"/>
        <v>206.16095282142132</v>
      </c>
      <c r="AT17" s="112">
        <f t="shared" si="25"/>
        <v>170.85650552056077</v>
      </c>
    </row>
    <row r="18" spans="1:46" x14ac:dyDescent="0.3">
      <c r="A18" s="88"/>
      <c r="B18" s="98"/>
      <c r="C18" s="88"/>
      <c r="D18" s="94">
        <v>15</v>
      </c>
      <c r="E18" s="94">
        <v>55</v>
      </c>
      <c r="F18" s="94">
        <v>55</v>
      </c>
      <c r="G18" s="94">
        <v>28</v>
      </c>
      <c r="H18" s="94">
        <v>26</v>
      </c>
      <c r="I18" s="88"/>
      <c r="J18" s="117">
        <f t="shared" si="15"/>
        <v>192.70170564094076</v>
      </c>
      <c r="K18" s="116">
        <v>0.04</v>
      </c>
      <c r="L18" s="117">
        <f t="shared" si="1"/>
        <v>72.676890269503019</v>
      </c>
      <c r="M18" s="117">
        <f t="shared" si="2"/>
        <v>97.521392251079902</v>
      </c>
      <c r="N18" s="117">
        <f t="shared" si="28"/>
        <v>7.7080682256376303</v>
      </c>
      <c r="O18" s="117">
        <f t="shared" si="12"/>
        <v>6.7293416916206485</v>
      </c>
      <c r="P18" s="117"/>
      <c r="Q18" s="117"/>
      <c r="R18" s="117"/>
      <c r="S18" s="117"/>
      <c r="T18" s="117"/>
      <c r="U18" s="117">
        <f t="shared" si="3"/>
        <v>184.63569243784119</v>
      </c>
      <c r="V18" s="117">
        <v>38.4</v>
      </c>
      <c r="W18" s="117">
        <f t="shared" si="17"/>
        <v>7.4284560000000006</v>
      </c>
      <c r="X18" s="117"/>
      <c r="Y18" s="117">
        <f>Y17*(1+$B$3)</f>
        <v>5.3060400000000003</v>
      </c>
      <c r="Z18" s="117">
        <f t="shared" si="26"/>
        <v>15.342899056895082</v>
      </c>
      <c r="AA18" s="117">
        <v>4.08</v>
      </c>
      <c r="AB18" s="117">
        <v>8.3000000000000007</v>
      </c>
      <c r="AC18" s="117">
        <v>7.6</v>
      </c>
      <c r="AD18" s="117">
        <f t="shared" ref="AD18" si="31">AD17*(1+$B$3)</f>
        <v>6.5678374910217547</v>
      </c>
      <c r="AE18" s="117">
        <f t="shared" si="19"/>
        <v>5.1142996856316927</v>
      </c>
      <c r="AF18" s="117"/>
      <c r="AG18" s="117">
        <f t="shared" si="24"/>
        <v>24</v>
      </c>
      <c r="AH18" s="117">
        <f t="shared" si="13"/>
        <v>8.3443836976096062</v>
      </c>
      <c r="AI18" s="117"/>
      <c r="AJ18" s="117"/>
      <c r="AK18" s="117"/>
      <c r="AL18" s="117">
        <f t="shared" si="6"/>
        <v>130.48391593115812</v>
      </c>
      <c r="AM18" s="111">
        <f t="shared" si="0"/>
        <v>54.151776506683063</v>
      </c>
      <c r="AN18" s="111">
        <f t="shared" si="7"/>
        <v>246.85348214762382</v>
      </c>
      <c r="AO18" s="88"/>
      <c r="AP18" s="81">
        <f t="shared" si="8"/>
        <v>4.3606134161701808</v>
      </c>
      <c r="AQ18" s="81">
        <f t="shared" si="14"/>
        <v>2.7503999999999995</v>
      </c>
      <c r="AR18" s="112">
        <f t="shared" si="9"/>
        <v>237.28153612090611</v>
      </c>
      <c r="AS18" s="112">
        <f t="shared" si="10"/>
        <v>217.15779093427818</v>
      </c>
      <c r="AT18" s="112">
        <f t="shared" si="25"/>
        <v>177.69076574138322</v>
      </c>
    </row>
    <row r="19" spans="1:46" x14ac:dyDescent="0.3">
      <c r="A19" s="88"/>
      <c r="B19" s="98"/>
      <c r="C19" s="88"/>
      <c r="D19" s="94">
        <v>16</v>
      </c>
      <c r="E19" s="94">
        <v>56</v>
      </c>
      <c r="F19" s="94">
        <v>56</v>
      </c>
      <c r="G19" s="94">
        <v>29</v>
      </c>
      <c r="H19" s="94">
        <v>27</v>
      </c>
      <c r="I19" s="88"/>
      <c r="J19" s="117">
        <f t="shared" si="15"/>
        <v>246.85348214762382</v>
      </c>
      <c r="K19" s="116">
        <v>0.04</v>
      </c>
      <c r="L19" s="117">
        <f t="shared" si="1"/>
        <v>74.130428074893075</v>
      </c>
      <c r="M19" s="117">
        <f t="shared" si="2"/>
        <v>98.496606173590706</v>
      </c>
      <c r="N19" s="117">
        <f t="shared" si="28"/>
        <v>9.8741392859049526</v>
      </c>
      <c r="O19" s="117">
        <f t="shared" si="12"/>
        <v>6.863928525453062</v>
      </c>
      <c r="P19" s="117"/>
      <c r="Q19" s="117"/>
      <c r="R19" s="117"/>
      <c r="S19" s="117"/>
      <c r="T19" s="117"/>
      <c r="U19" s="117">
        <f t="shared" si="3"/>
        <v>189.36510205984177</v>
      </c>
      <c r="V19" s="117"/>
      <c r="W19" s="117">
        <f t="shared" si="17"/>
        <v>7.5770251200000009</v>
      </c>
      <c r="X19" s="117"/>
      <c r="Y19" s="117">
        <f>Y18*(1+$B$3)</f>
        <v>5.4121608000000005</v>
      </c>
      <c r="Z19" s="117">
        <f t="shared" si="26"/>
        <v>15.649757038032984</v>
      </c>
      <c r="AA19" s="117">
        <v>4.08</v>
      </c>
      <c r="AB19" s="117">
        <v>8.5</v>
      </c>
      <c r="AC19" s="117">
        <v>7.6</v>
      </c>
      <c r="AD19" s="117">
        <f t="shared" ref="AD19" si="32">AD18*(1+$B$3)</f>
        <v>6.6991942408421901</v>
      </c>
      <c r="AE19" s="117">
        <f t="shared" si="19"/>
        <v>5.2165856793443268</v>
      </c>
      <c r="AF19" s="117"/>
      <c r="AG19" s="117">
        <f t="shared" si="24"/>
        <v>24</v>
      </c>
      <c r="AH19" s="117">
        <f t="shared" si="13"/>
        <v>8.5112713715617989</v>
      </c>
      <c r="AI19" s="117"/>
      <c r="AJ19" s="117"/>
      <c r="AK19" s="117"/>
      <c r="AL19" s="117">
        <f t="shared" si="6"/>
        <v>93.245994249781305</v>
      </c>
      <c r="AM19" s="111">
        <f t="shared" si="0"/>
        <v>96.11910781006047</v>
      </c>
      <c r="AN19" s="111">
        <f t="shared" si="7"/>
        <v>342.97258995768431</v>
      </c>
      <c r="AO19" s="88"/>
      <c r="AP19" s="81">
        <f t="shared" si="8"/>
        <v>4.4478256844935844</v>
      </c>
      <c r="AQ19" s="81">
        <f t="shared" si="14"/>
        <v>2.7503999999999995</v>
      </c>
      <c r="AR19" s="112">
        <f t="shared" si="9"/>
        <v>251.22062325023595</v>
      </c>
      <c r="AS19" s="112">
        <f t="shared" si="10"/>
        <v>228.59450257164934</v>
      </c>
      <c r="AT19" s="112">
        <f t="shared" si="25"/>
        <v>184.79839637103856</v>
      </c>
    </row>
    <row r="20" spans="1:46" x14ac:dyDescent="0.3">
      <c r="A20" s="88"/>
      <c r="B20" s="98"/>
      <c r="C20" s="88"/>
      <c r="D20" s="94">
        <v>17</v>
      </c>
      <c r="E20" s="94">
        <v>57</v>
      </c>
      <c r="F20" s="94">
        <v>57</v>
      </c>
      <c r="G20" s="94">
        <v>30</v>
      </c>
      <c r="H20" s="94">
        <v>28</v>
      </c>
      <c r="I20" s="88"/>
      <c r="J20" s="117">
        <f t="shared" si="15"/>
        <v>342.97258995768431</v>
      </c>
      <c r="K20" s="116">
        <v>0.04</v>
      </c>
      <c r="L20" s="117">
        <f t="shared" si="1"/>
        <v>75.613036636390945</v>
      </c>
      <c r="M20" s="117">
        <f t="shared" si="2"/>
        <v>99.48157223532661</v>
      </c>
      <c r="N20" s="117">
        <f t="shared" si="28"/>
        <v>13.718903598307373</v>
      </c>
      <c r="O20" s="117">
        <f t="shared" si="12"/>
        <v>7.0012070959621235</v>
      </c>
      <c r="P20" s="117"/>
      <c r="Q20" s="117"/>
      <c r="R20" s="117"/>
      <c r="S20" s="117"/>
      <c r="T20" s="117"/>
      <c r="U20" s="117">
        <f t="shared" si="3"/>
        <v>195.81471956598705</v>
      </c>
      <c r="V20" s="117"/>
      <c r="W20" s="117">
        <f t="shared" si="17"/>
        <v>7.7285656224000014</v>
      </c>
      <c r="X20" s="117"/>
      <c r="Y20" s="117">
        <f>Y19*(1+$B$3)</f>
        <v>5.5204040160000005</v>
      </c>
      <c r="Z20" s="117">
        <f t="shared" si="26"/>
        <v>15.962752178793645</v>
      </c>
      <c r="AA20" s="117">
        <v>4.08</v>
      </c>
      <c r="AB20" s="117">
        <v>8.8000000000000007</v>
      </c>
      <c r="AC20" s="117">
        <v>7.6</v>
      </c>
      <c r="AD20" s="117">
        <f t="shared" ref="AD20" si="33">AD19*(1+$B$3)</f>
        <v>6.8331781256590336</v>
      </c>
      <c r="AE20" s="117">
        <f t="shared" si="19"/>
        <v>5.3209173929312135</v>
      </c>
      <c r="AF20" s="117"/>
      <c r="AG20" s="117">
        <f t="shared" si="24"/>
        <v>24</v>
      </c>
      <c r="AH20" s="117">
        <f t="shared" si="13"/>
        <v>8.6814967989930345</v>
      </c>
      <c r="AI20" s="117"/>
      <c r="AJ20" s="117"/>
      <c r="AK20" s="117"/>
      <c r="AL20" s="117">
        <f t="shared" si="6"/>
        <v>94.52731413477693</v>
      </c>
      <c r="AM20" s="111">
        <f t="shared" si="0"/>
        <v>101.28740543121012</v>
      </c>
      <c r="AN20" s="111">
        <f t="shared" si="7"/>
        <v>444.25999538889442</v>
      </c>
      <c r="AO20" s="88"/>
      <c r="AP20" s="81">
        <f t="shared" si="8"/>
        <v>4.5367821981834568</v>
      </c>
      <c r="AQ20" s="81">
        <f t="shared" si="14"/>
        <v>2.7503999999999995</v>
      </c>
      <c r="AR20" s="112">
        <f t="shared" si="9"/>
        <v>265.80623037842884</v>
      </c>
      <c r="AS20" s="112">
        <f t="shared" si="10"/>
        <v>240.48868267451533</v>
      </c>
      <c r="AT20" s="112">
        <f t="shared" si="25"/>
        <v>192.19033222588013</v>
      </c>
    </row>
    <row r="21" spans="1:46" x14ac:dyDescent="0.3">
      <c r="A21" s="88"/>
      <c r="B21" s="98"/>
      <c r="C21" s="88"/>
      <c r="D21" s="94">
        <v>18</v>
      </c>
      <c r="E21" s="94">
        <v>58</v>
      </c>
      <c r="F21" s="94">
        <v>58</v>
      </c>
      <c r="G21" s="94">
        <v>31</v>
      </c>
      <c r="H21" s="94">
        <v>29</v>
      </c>
      <c r="I21" s="88"/>
      <c r="J21" s="117">
        <f t="shared" si="15"/>
        <v>444.25999538889442</v>
      </c>
      <c r="K21" s="116">
        <v>0.04</v>
      </c>
      <c r="L21" s="117">
        <f t="shared" si="1"/>
        <v>77.125297369118769</v>
      </c>
      <c r="M21" s="117">
        <f t="shared" si="2"/>
        <v>100.47638795767988</v>
      </c>
      <c r="N21" s="117">
        <f t="shared" si="28"/>
        <v>17.770399815555777</v>
      </c>
      <c r="O21" s="117">
        <f t="shared" si="12"/>
        <v>7.1412312378813665</v>
      </c>
      <c r="P21" s="117"/>
      <c r="Q21" s="117"/>
      <c r="R21" s="117"/>
      <c r="S21" s="117"/>
      <c r="T21" s="117"/>
      <c r="U21" s="117">
        <f t="shared" si="3"/>
        <v>202.51331638023578</v>
      </c>
      <c r="V21" s="117"/>
      <c r="W21" s="117">
        <v>8</v>
      </c>
      <c r="X21" s="117"/>
      <c r="Y21" s="117">
        <v>6</v>
      </c>
      <c r="Z21" s="117">
        <f t="shared" si="26"/>
        <v>16.282007222369518</v>
      </c>
      <c r="AA21" s="117">
        <v>4.08</v>
      </c>
      <c r="AB21" s="117">
        <v>9.1</v>
      </c>
      <c r="AC21" s="117">
        <v>7.6</v>
      </c>
      <c r="AD21" s="117">
        <f t="shared" ref="AD21" si="34">AD20*(1+$B$3)</f>
        <v>6.9698416881722141</v>
      </c>
      <c r="AE21" s="117">
        <f t="shared" si="19"/>
        <v>5.4273357407898377</v>
      </c>
      <c r="AF21" s="117"/>
      <c r="AG21" s="117">
        <f t="shared" si="24"/>
        <v>24</v>
      </c>
      <c r="AH21" s="117">
        <f t="shared" si="13"/>
        <v>8.8551267349728953</v>
      </c>
      <c r="AI21" s="117"/>
      <c r="AJ21" s="117"/>
      <c r="AK21" s="117"/>
      <c r="AL21" s="117">
        <f t="shared" si="6"/>
        <v>96.314311386304482</v>
      </c>
      <c r="AM21" s="111">
        <f t="shared" si="0"/>
        <v>106.1990049939313</v>
      </c>
      <c r="AN21" s="111">
        <f t="shared" si="7"/>
        <v>550.45900038282571</v>
      </c>
      <c r="AO21" s="88"/>
      <c r="AP21" s="81">
        <f t="shared" si="8"/>
        <v>4.6275178421471264</v>
      </c>
      <c r="AQ21" s="81">
        <f t="shared" si="14"/>
        <v>2.7503999999999995</v>
      </c>
      <c r="AR21" s="112">
        <f t="shared" si="9"/>
        <v>281.06599743571314</v>
      </c>
      <c r="AS21" s="112">
        <f t="shared" si="10"/>
        <v>252.85862998149597</v>
      </c>
      <c r="AT21" s="112">
        <f t="shared" si="25"/>
        <v>199.87794551491533</v>
      </c>
    </row>
    <row r="22" spans="1:46" x14ac:dyDescent="0.3">
      <c r="A22" s="88"/>
      <c r="B22" s="98"/>
      <c r="C22" s="88"/>
      <c r="D22" s="94">
        <v>19</v>
      </c>
      <c r="E22" s="94">
        <v>59</v>
      </c>
      <c r="F22" s="94">
        <v>59</v>
      </c>
      <c r="G22" s="94">
        <v>32</v>
      </c>
      <c r="H22" s="94">
        <v>30</v>
      </c>
      <c r="J22" s="117">
        <f t="shared" si="15"/>
        <v>550.45900038282571</v>
      </c>
      <c r="K22" s="116">
        <v>0.04</v>
      </c>
      <c r="L22" s="117">
        <f t="shared" si="1"/>
        <v>78.66780331650115</v>
      </c>
      <c r="M22" s="117">
        <f t="shared" si="2"/>
        <v>101.48115183725668</v>
      </c>
      <c r="N22" s="117">
        <f t="shared" si="28"/>
        <v>22.018360015313029</v>
      </c>
      <c r="O22" s="117">
        <f t="shared" si="12"/>
        <v>7.2840558626389935</v>
      </c>
      <c r="P22" s="117"/>
      <c r="Q22" s="117"/>
      <c r="R22" s="117"/>
      <c r="S22" s="117"/>
      <c r="T22" s="117"/>
      <c r="U22" s="117">
        <f t="shared" si="3"/>
        <v>209.45137103170981</v>
      </c>
      <c r="V22" s="117"/>
      <c r="W22" s="117">
        <f>W21*(1+$B$3)</f>
        <v>8.16</v>
      </c>
      <c r="X22" s="117"/>
      <c r="Y22" s="117">
        <f>Y21*(1+$B$3)</f>
        <v>6.12</v>
      </c>
      <c r="Z22" s="117">
        <f t="shared" si="26"/>
        <v>16.607647366816909</v>
      </c>
      <c r="AA22" s="117">
        <v>4.08</v>
      </c>
      <c r="AB22" s="117">
        <v>9.4</v>
      </c>
      <c r="AC22" s="117">
        <v>7.6</v>
      </c>
      <c r="AD22" s="117">
        <f t="shared" ref="AD22" si="35">AD21*(1+$B$3)</f>
        <v>7.1092385219356586</v>
      </c>
      <c r="AE22" s="117">
        <f t="shared" si="19"/>
        <v>5.535882455605635</v>
      </c>
      <c r="AF22" s="117"/>
      <c r="AG22" s="117">
        <f t="shared" si="24"/>
        <v>24</v>
      </c>
      <c r="AH22" s="117">
        <f t="shared" si="13"/>
        <v>9.032229269672353</v>
      </c>
      <c r="AI22" s="117"/>
      <c r="AJ22" s="117"/>
      <c r="AK22" s="117"/>
      <c r="AL22" s="117">
        <f t="shared" si="6"/>
        <v>97.644997614030558</v>
      </c>
      <c r="AM22" s="111">
        <f t="shared" si="0"/>
        <v>111.80637341767925</v>
      </c>
      <c r="AN22" s="111">
        <f t="shared" si="7"/>
        <v>662.2653738005049</v>
      </c>
      <c r="AO22" s="88"/>
      <c r="AP22" s="81">
        <f t="shared" si="8"/>
        <v>4.7200681989900692</v>
      </c>
      <c r="AQ22" s="81">
        <f t="shared" si="14"/>
        <v>2.7503999999999995</v>
      </c>
      <c r="AR22" s="112">
        <f t="shared" si="9"/>
        <v>297.02870553213177</v>
      </c>
      <c r="AS22" s="112">
        <f t="shared" si="10"/>
        <v>265.72337518075585</v>
      </c>
      <c r="AT22" s="112">
        <f t="shared" si="25"/>
        <v>207.87306333551194</v>
      </c>
    </row>
    <row r="23" spans="1:46" ht="14.5" x14ac:dyDescent="0.3">
      <c r="A23" s="88"/>
      <c r="B23" s="98"/>
      <c r="C23" s="88"/>
      <c r="D23" s="94">
        <v>20</v>
      </c>
      <c r="E23" s="94">
        <v>60</v>
      </c>
      <c r="F23" s="94">
        <v>60</v>
      </c>
      <c r="G23" s="94">
        <v>33</v>
      </c>
      <c r="H23" s="94">
        <v>31</v>
      </c>
      <c r="I23" s="88" t="s">
        <v>344</v>
      </c>
      <c r="J23" s="117">
        <f t="shared" si="15"/>
        <v>662.2653738005049</v>
      </c>
      <c r="K23" s="116">
        <v>0.04</v>
      </c>
      <c r="L23" s="117">
        <f t="shared" si="1"/>
        <v>80.241159382831171</v>
      </c>
      <c r="M23" s="117">
        <f t="shared" si="2"/>
        <v>102.49596335562924</v>
      </c>
      <c r="N23" s="117">
        <f t="shared" si="28"/>
        <v>26.490614952020195</v>
      </c>
      <c r="O23" s="117">
        <f t="shared" si="12"/>
        <v>7.4297369798917732</v>
      </c>
      <c r="P23" s="117"/>
      <c r="Q23" s="117"/>
      <c r="R23" s="117"/>
      <c r="S23" s="117"/>
      <c r="T23" s="117"/>
      <c r="U23" s="117">
        <f t="shared" si="3"/>
        <v>216.65747467037238</v>
      </c>
      <c r="V23" s="117"/>
      <c r="W23" s="117">
        <f t="shared" si="17"/>
        <v>8.3231999999999999</v>
      </c>
      <c r="X23" s="117"/>
      <c r="Y23" s="117">
        <f>Y22*(1+$B$3)</f>
        <v>6.2423999999999999</v>
      </c>
      <c r="Z23" s="117">
        <f t="shared" si="26"/>
        <v>16.939800314153249</v>
      </c>
      <c r="AA23" s="117">
        <v>4.08</v>
      </c>
      <c r="AB23" s="117">
        <v>9.6999999999999993</v>
      </c>
      <c r="AC23" s="117">
        <v>7.6</v>
      </c>
      <c r="AD23" s="117">
        <f t="shared" ref="AD23" si="36">AD22*(1+$B$3)</f>
        <v>7.2514232923743718</v>
      </c>
      <c r="AE23" s="117">
        <f t="shared" si="19"/>
        <v>5.6466001047177476</v>
      </c>
      <c r="AF23" s="117"/>
      <c r="AG23" s="117">
        <f t="shared" si="24"/>
        <v>24</v>
      </c>
      <c r="AH23" s="117">
        <f t="shared" si="13"/>
        <v>9.2128738550657996</v>
      </c>
      <c r="AI23" s="117"/>
      <c r="AJ23" s="117">
        <f>理財目標費用終值!D14</f>
        <v>104.0163177184848</v>
      </c>
      <c r="AK23" s="117"/>
      <c r="AL23" s="117">
        <f t="shared" si="6"/>
        <v>203.01261528479597</v>
      </c>
      <c r="AM23" s="111">
        <f t="shared" si="0"/>
        <v>13.64485938557641</v>
      </c>
      <c r="AN23" s="111">
        <f t="shared" si="7"/>
        <v>675.91023318608131</v>
      </c>
      <c r="AO23" s="88"/>
      <c r="AP23" s="81">
        <f t="shared" si="8"/>
        <v>4.8144695629698697</v>
      </c>
      <c r="AQ23" s="81">
        <f t="shared" si="14"/>
        <v>2.7503999999999995</v>
      </c>
      <c r="AR23" s="112">
        <f t="shared" si="9"/>
        <v>313.72432331638691</v>
      </c>
      <c r="AS23" s="112">
        <f t="shared" si="10"/>
        <v>279.10271018798613</v>
      </c>
      <c r="AT23" s="112">
        <f t="shared" si="25"/>
        <v>216.18798586893243</v>
      </c>
    </row>
    <row r="24" spans="1:46" x14ac:dyDescent="0.3">
      <c r="D24" s="94">
        <v>21</v>
      </c>
      <c r="E24" s="94">
        <v>61</v>
      </c>
      <c r="F24" s="94">
        <v>61</v>
      </c>
      <c r="G24" s="94">
        <v>34</v>
      </c>
      <c r="H24" s="94">
        <v>32</v>
      </c>
      <c r="J24" s="117">
        <f t="shared" si="15"/>
        <v>675.91023318608131</v>
      </c>
      <c r="K24" s="116">
        <v>0.04</v>
      </c>
      <c r="L24" s="117">
        <f t="shared" si="1"/>
        <v>81.845982570487791</v>
      </c>
      <c r="M24" s="117">
        <f t="shared" si="2"/>
        <v>103.52092298918554</v>
      </c>
      <c r="N24" s="117">
        <f t="shared" si="28"/>
        <v>27.036409327443252</v>
      </c>
      <c r="O24" s="117">
        <f t="shared" si="12"/>
        <v>7.5783317194896087</v>
      </c>
      <c r="P24" s="117"/>
      <c r="Q24" s="117"/>
      <c r="R24" s="117"/>
      <c r="S24" s="125"/>
      <c r="T24" s="125"/>
      <c r="U24" s="117">
        <f t="shared" si="3"/>
        <v>219.9816466066062</v>
      </c>
      <c r="V24" s="125"/>
      <c r="W24" s="117">
        <f t="shared" si="17"/>
        <v>8.4896639999999994</v>
      </c>
      <c r="X24" s="125"/>
      <c r="Y24" s="117">
        <f>Y23*(1+$B$3)</f>
        <v>6.367248</v>
      </c>
      <c r="Z24" s="117">
        <f t="shared" si="26"/>
        <v>17.278596320436314</v>
      </c>
      <c r="AA24" s="117">
        <v>4.08</v>
      </c>
      <c r="AB24" s="117">
        <v>10</v>
      </c>
      <c r="AC24" s="117">
        <v>6.4</v>
      </c>
      <c r="AD24" s="117">
        <f t="shared" ref="AD24" si="37">AD23*(1+$B$3)</f>
        <v>7.3964517582218594</v>
      </c>
      <c r="AE24" s="117">
        <f t="shared" si="19"/>
        <v>5.7595321068121024</v>
      </c>
      <c r="AF24" s="125"/>
      <c r="AG24" s="117"/>
      <c r="AH24" s="125"/>
      <c r="AI24" s="125"/>
      <c r="AJ24" s="125"/>
      <c r="AK24" s="125"/>
      <c r="AL24" s="117">
        <f t="shared" si="6"/>
        <v>65.771492185470265</v>
      </c>
      <c r="AM24" s="111">
        <f t="shared" si="0"/>
        <v>154.21015442113594</v>
      </c>
      <c r="AN24" s="111">
        <f t="shared" si="7"/>
        <v>830.12038760721725</v>
      </c>
      <c r="AP24" s="81">
        <f t="shared" si="8"/>
        <v>4.9107589542292676</v>
      </c>
      <c r="AQ24" s="81">
        <f t="shared" si="14"/>
        <v>2.7503999999999995</v>
      </c>
      <c r="AR24" s="112">
        <f t="shared" si="9"/>
        <v>331.18405520327167</v>
      </c>
      <c r="AS24" s="112">
        <f t="shared" si="10"/>
        <v>293.0172185955056</v>
      </c>
      <c r="AT24" s="112">
        <f t="shared" si="25"/>
        <v>224.83550530368973</v>
      </c>
    </row>
    <row r="25" spans="1:46" x14ac:dyDescent="0.3">
      <c r="D25" s="94">
        <v>22</v>
      </c>
      <c r="E25" s="94">
        <v>62</v>
      </c>
      <c r="F25" s="94">
        <v>62</v>
      </c>
      <c r="G25" s="94">
        <v>35</v>
      </c>
      <c r="H25" s="94">
        <v>33</v>
      </c>
      <c r="J25" s="117">
        <f t="shared" si="15"/>
        <v>830.12038760721725</v>
      </c>
      <c r="K25" s="116">
        <v>0.04</v>
      </c>
      <c r="L25" s="117">
        <f t="shared" si="1"/>
        <v>83.482902221897547</v>
      </c>
      <c r="M25" s="117">
        <f t="shared" si="2"/>
        <v>104.5561322190774</v>
      </c>
      <c r="N25" s="117">
        <f t="shared" si="28"/>
        <v>33.204815504288689</v>
      </c>
      <c r="O25" s="117">
        <f t="shared" si="12"/>
        <v>7.7298983538794008</v>
      </c>
      <c r="P25" s="117"/>
      <c r="Q25" s="117"/>
      <c r="R25" s="117"/>
      <c r="S25" s="125"/>
      <c r="T25" s="125"/>
      <c r="U25" s="117">
        <f t="shared" si="3"/>
        <v>228.97374829914304</v>
      </c>
      <c r="V25" s="125"/>
      <c r="W25" s="117">
        <f t="shared" si="17"/>
        <v>8.6594572799999998</v>
      </c>
      <c r="X25" s="125"/>
      <c r="Y25" s="117">
        <f>Y24*(1+$B$3)</f>
        <v>6.4945929600000003</v>
      </c>
      <c r="Z25" s="117">
        <f t="shared" si="26"/>
        <v>17.624168246845041</v>
      </c>
      <c r="AA25" s="117">
        <v>4.08</v>
      </c>
      <c r="AB25" s="117">
        <v>10.3</v>
      </c>
      <c r="AC25" s="117">
        <v>6.4</v>
      </c>
      <c r="AD25" s="117">
        <f t="shared" ref="AD25" si="38">AD24*(1+$B$3)</f>
        <v>7.5443807933862965</v>
      </c>
      <c r="AE25" s="117">
        <f t="shared" si="19"/>
        <v>5.8747227489483445</v>
      </c>
      <c r="AF25" s="125"/>
      <c r="AG25" s="125"/>
      <c r="AH25" s="125"/>
      <c r="AI25" s="125"/>
      <c r="AJ25" s="125"/>
      <c r="AK25" s="125"/>
      <c r="AL25" s="117">
        <f t="shared" si="6"/>
        <v>66.977322029179689</v>
      </c>
      <c r="AM25" s="111">
        <f t="shared" si="0"/>
        <v>161.99642626996337</v>
      </c>
      <c r="AN25" s="111">
        <f t="shared" si="7"/>
        <v>992.11681387718068</v>
      </c>
      <c r="AP25" s="81">
        <f t="shared" si="8"/>
        <v>5.0089741333138527</v>
      </c>
      <c r="AQ25" s="81">
        <f t="shared" si="14"/>
        <v>2.7503999999999995</v>
      </c>
      <c r="AR25" s="112">
        <f t="shared" si="9"/>
        <v>349.44039154471642</v>
      </c>
      <c r="AS25" s="112">
        <f t="shared" si="10"/>
        <v>307.48830733932584</v>
      </c>
      <c r="AT25" s="112">
        <f t="shared" si="25"/>
        <v>233.82892551583731</v>
      </c>
    </row>
    <row r="26" spans="1:46" x14ac:dyDescent="0.3">
      <c r="D26" s="94">
        <v>23</v>
      </c>
      <c r="E26" s="94">
        <v>63</v>
      </c>
      <c r="F26" s="94">
        <v>63</v>
      </c>
      <c r="G26" s="94">
        <v>36</v>
      </c>
      <c r="H26" s="94">
        <v>34</v>
      </c>
      <c r="J26" s="117">
        <f t="shared" si="15"/>
        <v>992.11681387718068</v>
      </c>
      <c r="K26" s="116">
        <v>0.04</v>
      </c>
      <c r="L26" s="117">
        <f t="shared" si="1"/>
        <v>85.152560266335499</v>
      </c>
      <c r="M26" s="117">
        <f t="shared" si="2"/>
        <v>105.60169354126818</v>
      </c>
      <c r="N26" s="117">
        <f t="shared" si="28"/>
        <v>39.684672555087225</v>
      </c>
      <c r="O26" s="117">
        <f t="shared" si="12"/>
        <v>7.8844963209569894</v>
      </c>
      <c r="P26" s="117"/>
      <c r="Q26" s="117"/>
      <c r="R26" s="117"/>
      <c r="S26" s="125"/>
      <c r="T26" s="125"/>
      <c r="U26" s="117">
        <f t="shared" si="3"/>
        <v>238.32342268364789</v>
      </c>
      <c r="V26" s="125"/>
      <c r="W26" s="117">
        <f t="shared" si="17"/>
        <v>8.8326464256000001</v>
      </c>
      <c r="X26" s="125"/>
      <c r="Y26" s="117">
        <f>Y25*(1+$B$3)</f>
        <v>6.6244848192000001</v>
      </c>
      <c r="Z26" s="117">
        <f t="shared" si="26"/>
        <v>17.976651611781943</v>
      </c>
      <c r="AA26" s="117">
        <v>4.08</v>
      </c>
      <c r="AB26" s="117">
        <v>10.6</v>
      </c>
      <c r="AC26" s="117">
        <v>6.4</v>
      </c>
      <c r="AD26" s="117">
        <f t="shared" ref="AD26" si="39">AD25*(1+$B$3)</f>
        <v>7.6952684092540222</v>
      </c>
      <c r="AE26" s="117">
        <f t="shared" ref="AE26:AE27" si="40">AE25*(1+$B$3)</f>
        <v>5.9922172039273116</v>
      </c>
      <c r="AF26" s="125"/>
      <c r="AG26" s="125"/>
      <c r="AH26" s="125"/>
      <c r="AI26" s="125"/>
      <c r="AJ26" s="125"/>
      <c r="AK26" s="125"/>
      <c r="AL26" s="117">
        <f t="shared" si="6"/>
        <v>68.201268469763278</v>
      </c>
      <c r="AM26" s="111">
        <f t="shared" si="0"/>
        <v>170.12215421388461</v>
      </c>
      <c r="AN26" s="111">
        <f t="shared" si="7"/>
        <v>1162.2389680910653</v>
      </c>
      <c r="AP26" s="81">
        <f t="shared" si="8"/>
        <v>5.1091536159801301</v>
      </c>
      <c r="AQ26" s="81">
        <f t="shared" si="14"/>
        <v>2.7503999999999995</v>
      </c>
      <c r="AR26" s="112">
        <f t="shared" si="9"/>
        <v>368.5271608224852</v>
      </c>
      <c r="AS26" s="112">
        <f t="shared" si="10"/>
        <v>322.53823963289892</v>
      </c>
      <c r="AT26" s="112">
        <f t="shared" si="25"/>
        <v>243.1820825364708</v>
      </c>
    </row>
    <row r="27" spans="1:46" x14ac:dyDescent="0.3">
      <c r="D27" s="94">
        <v>24</v>
      </c>
      <c r="E27" s="94">
        <v>64</v>
      </c>
      <c r="F27" s="94">
        <v>64</v>
      </c>
      <c r="G27" s="94">
        <v>37</v>
      </c>
      <c r="H27" s="94">
        <v>35</v>
      </c>
      <c r="J27" s="117">
        <f t="shared" si="15"/>
        <v>1162.2389680910653</v>
      </c>
      <c r="K27" s="116">
        <v>0.04</v>
      </c>
      <c r="L27" s="117">
        <f t="shared" si="1"/>
        <v>86.855611471662215</v>
      </c>
      <c r="M27" s="117">
        <f t="shared" si="2"/>
        <v>106.65771047668086</v>
      </c>
      <c r="N27" s="117">
        <f t="shared" si="28"/>
        <v>46.489558723642617</v>
      </c>
      <c r="O27" s="117">
        <f t="shared" si="12"/>
        <v>8.0421862473761294</v>
      </c>
      <c r="P27" s="117"/>
      <c r="Q27" s="117"/>
      <c r="R27" s="117"/>
      <c r="S27" s="125"/>
      <c r="T27" s="125"/>
      <c r="U27" s="117">
        <f t="shared" si="3"/>
        <v>248.0450669193618</v>
      </c>
      <c r="V27" s="125"/>
      <c r="W27" s="117">
        <v>9</v>
      </c>
      <c r="X27" s="125"/>
      <c r="Y27" s="117">
        <v>7</v>
      </c>
      <c r="Z27" s="117">
        <f t="shared" si="26"/>
        <v>18.336184644017582</v>
      </c>
      <c r="AA27" s="117">
        <v>4.08</v>
      </c>
      <c r="AB27" s="117">
        <v>10.9</v>
      </c>
      <c r="AC27" s="117">
        <v>6.4</v>
      </c>
      <c r="AD27" s="117">
        <f t="shared" ref="AD27" si="41">AD26*(1+$B$3)</f>
        <v>7.8491737774391028</v>
      </c>
      <c r="AE27" s="117">
        <f t="shared" si="40"/>
        <v>6.1120615480058582</v>
      </c>
      <c r="AF27" s="125"/>
      <c r="AG27" s="125"/>
      <c r="AH27" s="125"/>
      <c r="AI27" s="125"/>
      <c r="AJ27" s="125"/>
      <c r="AK27" s="125"/>
      <c r="AL27" s="117">
        <f t="shared" si="6"/>
        <v>69.677419969462534</v>
      </c>
      <c r="AM27" s="111">
        <f t="shared" si="0"/>
        <v>178.36764694989927</v>
      </c>
      <c r="AN27" s="111">
        <f t="shared" si="7"/>
        <v>1340.6066150409647</v>
      </c>
      <c r="AP27" s="81">
        <f t="shared" si="8"/>
        <v>5.211336688299733</v>
      </c>
      <c r="AQ27" s="81">
        <f t="shared" si="14"/>
        <v>2.7503999999999995</v>
      </c>
      <c r="AR27" s="112">
        <f t="shared" si="9"/>
        <v>388.47958394368436</v>
      </c>
      <c r="AS27" s="112">
        <f t="shared" si="10"/>
        <v>338.19016921821492</v>
      </c>
      <c r="AT27" s="112">
        <f t="shared" si="25"/>
        <v>252.90936583792964</v>
      </c>
    </row>
    <row r="28" spans="1:46" ht="14.5" x14ac:dyDescent="0.3">
      <c r="D28" s="94">
        <v>25</v>
      </c>
      <c r="E28" s="94">
        <v>65</v>
      </c>
      <c r="F28" s="94">
        <v>65</v>
      </c>
      <c r="G28" s="94">
        <v>38</v>
      </c>
      <c r="H28" s="94">
        <v>36</v>
      </c>
      <c r="I28" s="9" t="s">
        <v>345</v>
      </c>
      <c r="J28" s="117">
        <f t="shared" si="15"/>
        <v>1340.6066150409647</v>
      </c>
      <c r="K28" s="116">
        <v>0.02</v>
      </c>
      <c r="L28" s="125"/>
      <c r="M28" s="125"/>
      <c r="N28" s="117">
        <f t="shared" si="28"/>
        <v>26.812132300819293</v>
      </c>
      <c r="O28" s="117">
        <f t="shared" si="12"/>
        <v>8.2030299723236517</v>
      </c>
      <c r="P28" s="125">
        <f>個案背景設定!E3</f>
        <v>34.927080000000004</v>
      </c>
      <c r="Q28" s="117">
        <f>個案背景設定!E4</f>
        <v>29.131319999999995</v>
      </c>
      <c r="R28" s="117">
        <f>PMT(0.01/12,20*12,-AR27,,1)*12</f>
        <v>21.421294804000734</v>
      </c>
      <c r="S28" s="117">
        <f>PMT(0.01/12,20*12,-AS27,,1)*12</f>
        <v>18.648267795942825</v>
      </c>
      <c r="T28" s="117">
        <f>AT27</f>
        <v>252.90936583792964</v>
      </c>
      <c r="U28" s="117">
        <f t="shared" si="3"/>
        <v>392.05249071101616</v>
      </c>
      <c r="V28" s="125"/>
      <c r="W28" s="117"/>
      <c r="X28" s="125"/>
      <c r="Y28" s="117"/>
      <c r="Z28" s="117"/>
      <c r="AA28" s="117"/>
      <c r="AB28" s="125"/>
      <c r="AC28" s="117">
        <v>4.2</v>
      </c>
      <c r="AD28" s="125"/>
      <c r="AE28" s="125"/>
      <c r="AF28" s="125"/>
      <c r="AG28" s="125"/>
      <c r="AH28" s="125"/>
      <c r="AI28" s="117">
        <f>理財目標費用終值!D18*12</f>
        <v>118.12363160146052</v>
      </c>
      <c r="AJ28" s="125"/>
      <c r="AK28" s="117"/>
      <c r="AL28" s="117">
        <f t="shared" si="6"/>
        <v>122.32363160146052</v>
      </c>
      <c r="AM28" s="111">
        <f t="shared" si="0"/>
        <v>269.72885910955563</v>
      </c>
      <c r="AN28" s="111">
        <f t="shared" si="7"/>
        <v>1610.3354741505204</v>
      </c>
    </row>
    <row r="29" spans="1:46" x14ac:dyDescent="0.3">
      <c r="D29" s="94">
        <v>26</v>
      </c>
      <c r="E29" s="94">
        <v>66</v>
      </c>
      <c r="F29" s="94">
        <v>66</v>
      </c>
      <c r="G29" s="94">
        <v>39</v>
      </c>
      <c r="H29" s="94">
        <v>37</v>
      </c>
      <c r="J29" s="117">
        <f t="shared" si="15"/>
        <v>1610.3354741505204</v>
      </c>
      <c r="K29" s="116">
        <v>0.02</v>
      </c>
      <c r="L29" s="125"/>
      <c r="M29" s="125"/>
      <c r="N29" s="117">
        <f t="shared" si="28"/>
        <v>32.206709483010407</v>
      </c>
      <c r="O29" s="117">
        <f t="shared" si="12"/>
        <v>8.3670905717701256</v>
      </c>
      <c r="P29" s="125">
        <f>P28*(1+$B$3)</f>
        <v>35.625621600000002</v>
      </c>
      <c r="Q29" s="125">
        <f>Q28*(1+$B$3)</f>
        <v>29.713946399999994</v>
      </c>
      <c r="R29" s="117">
        <f>R28</f>
        <v>21.421294804000734</v>
      </c>
      <c r="S29" s="125">
        <f>S28</f>
        <v>18.648267795942825</v>
      </c>
      <c r="T29" s="125"/>
      <c r="U29" s="117">
        <f t="shared" si="3"/>
        <v>145.9829306547241</v>
      </c>
      <c r="V29" s="125"/>
      <c r="W29" s="117"/>
      <c r="X29" s="125"/>
      <c r="Y29" s="117"/>
      <c r="Z29" s="125"/>
      <c r="AA29" s="125"/>
      <c r="AB29" s="125"/>
      <c r="AC29" s="117">
        <v>4.2</v>
      </c>
      <c r="AD29" s="125"/>
      <c r="AE29" s="125"/>
      <c r="AF29" s="125"/>
      <c r="AG29" s="125"/>
      <c r="AH29" s="125"/>
      <c r="AI29" s="117">
        <f>AI28*(1+$B$3)</f>
        <v>120.48610423348973</v>
      </c>
      <c r="AJ29" s="125"/>
      <c r="AK29" s="125"/>
      <c r="AL29" s="117">
        <f t="shared" si="6"/>
        <v>124.68610423348973</v>
      </c>
      <c r="AM29" s="111">
        <f t="shared" si="0"/>
        <v>21.296826421234371</v>
      </c>
      <c r="AN29" s="111">
        <f t="shared" si="7"/>
        <v>1631.6323005717547</v>
      </c>
    </row>
    <row r="30" spans="1:46" x14ac:dyDescent="0.3">
      <c r="D30" s="94">
        <v>27</v>
      </c>
      <c r="E30" s="94">
        <v>67</v>
      </c>
      <c r="F30" s="94">
        <v>67</v>
      </c>
      <c r="G30" s="94">
        <v>40</v>
      </c>
      <c r="H30" s="94">
        <v>38</v>
      </c>
      <c r="J30" s="117">
        <f t="shared" si="15"/>
        <v>1631.6323005717547</v>
      </c>
      <c r="K30" s="116">
        <v>0.02</v>
      </c>
      <c r="L30" s="125"/>
      <c r="M30" s="125"/>
      <c r="N30" s="117">
        <f t="shared" si="28"/>
        <v>32.632646011435092</v>
      </c>
      <c r="O30" s="117">
        <f t="shared" si="12"/>
        <v>8.5344323832055284</v>
      </c>
      <c r="P30" s="125">
        <f t="shared" si="12"/>
        <v>36.338134032000006</v>
      </c>
      <c r="Q30" s="125">
        <f t="shared" si="12"/>
        <v>30.308225327999995</v>
      </c>
      <c r="R30" s="117">
        <f t="shared" ref="R30:S45" si="42">R29</f>
        <v>21.421294804000734</v>
      </c>
      <c r="S30" s="125">
        <f t="shared" si="42"/>
        <v>18.648267795942825</v>
      </c>
      <c r="T30" s="125"/>
      <c r="U30" s="117">
        <f t="shared" si="3"/>
        <v>147.88300035458417</v>
      </c>
      <c r="V30" s="125"/>
      <c r="W30" s="117"/>
      <c r="X30" s="125"/>
      <c r="Y30" s="117"/>
      <c r="Z30" s="125"/>
      <c r="AA30" s="125"/>
      <c r="AB30" s="125"/>
      <c r="AC30" s="117">
        <v>4.2</v>
      </c>
      <c r="AD30" s="125"/>
      <c r="AE30" s="125"/>
      <c r="AF30" s="125"/>
      <c r="AG30" s="125"/>
      <c r="AH30" s="125"/>
      <c r="AI30" s="117">
        <f>AI29*(1+$B$3)</f>
        <v>122.89582631815952</v>
      </c>
      <c r="AJ30" s="125"/>
      <c r="AK30" s="125"/>
      <c r="AL30" s="117">
        <f t="shared" si="6"/>
        <v>127.09582631815952</v>
      </c>
      <c r="AM30" s="111">
        <f t="shared" si="0"/>
        <v>20.787174036424645</v>
      </c>
      <c r="AN30" s="111">
        <f t="shared" si="7"/>
        <v>1652.4194746081794</v>
      </c>
    </row>
    <row r="31" spans="1:46" x14ac:dyDescent="0.3">
      <c r="D31" s="94">
        <v>28</v>
      </c>
      <c r="E31" s="94">
        <v>68</v>
      </c>
      <c r="F31" s="94">
        <v>68</v>
      </c>
      <c r="G31" s="94">
        <v>41</v>
      </c>
      <c r="H31" s="94">
        <v>39</v>
      </c>
      <c r="J31" s="117">
        <f t="shared" si="15"/>
        <v>1652.4194746081794</v>
      </c>
      <c r="K31" s="116">
        <v>0.02</v>
      </c>
      <c r="L31" s="125"/>
      <c r="M31" s="125"/>
      <c r="N31" s="117">
        <f t="shared" si="28"/>
        <v>33.048389492163587</v>
      </c>
      <c r="O31" s="117">
        <f t="shared" ref="O31:Q46" si="43">O30*(1+$B$3)</f>
        <v>8.7051210308696394</v>
      </c>
      <c r="P31" s="125">
        <f t="shared" si="43"/>
        <v>37.064896712640007</v>
      </c>
      <c r="Q31" s="125">
        <f t="shared" si="43"/>
        <v>30.914389834559994</v>
      </c>
      <c r="R31" s="117">
        <f t="shared" si="42"/>
        <v>21.421294804000734</v>
      </c>
      <c r="S31" s="125">
        <f t="shared" si="42"/>
        <v>18.648267795942825</v>
      </c>
      <c r="T31" s="125"/>
      <c r="U31" s="117">
        <f t="shared" si="3"/>
        <v>149.80235967017677</v>
      </c>
      <c r="V31" s="125"/>
      <c r="W31" s="117"/>
      <c r="X31" s="125"/>
      <c r="Y31" s="117"/>
      <c r="Z31" s="125"/>
      <c r="AA31" s="125"/>
      <c r="AB31" s="125"/>
      <c r="AC31" s="117">
        <v>4.2</v>
      </c>
      <c r="AD31" s="125"/>
      <c r="AE31" s="125"/>
      <c r="AF31" s="125"/>
      <c r="AG31" s="125"/>
      <c r="AH31" s="125"/>
      <c r="AI31" s="117">
        <f t="shared" ref="AI31:AI53" si="44">AI30*(1+$B$3)</f>
        <v>125.35374284452271</v>
      </c>
      <c r="AJ31" s="125"/>
      <c r="AK31" s="125"/>
      <c r="AL31" s="117">
        <f t="shared" si="6"/>
        <v>129.5537428445227</v>
      </c>
      <c r="AM31" s="111">
        <f t="shared" si="0"/>
        <v>20.248616825654068</v>
      </c>
      <c r="AN31" s="111">
        <f t="shared" si="7"/>
        <v>1672.6680914338335</v>
      </c>
    </row>
    <row r="32" spans="1:46" x14ac:dyDescent="0.3">
      <c r="D32" s="94">
        <v>29</v>
      </c>
      <c r="E32" s="94">
        <v>69</v>
      </c>
      <c r="F32" s="94">
        <v>69</v>
      </c>
      <c r="G32" s="94">
        <v>42</v>
      </c>
      <c r="H32" s="94">
        <v>40</v>
      </c>
      <c r="J32" s="117">
        <f t="shared" si="15"/>
        <v>1672.6680914338335</v>
      </c>
      <c r="K32" s="116">
        <v>0.02</v>
      </c>
      <c r="L32" s="125"/>
      <c r="M32" s="125"/>
      <c r="N32" s="117">
        <f t="shared" si="28"/>
        <v>33.45336182867667</v>
      </c>
      <c r="O32" s="117">
        <f t="shared" si="43"/>
        <v>8.8792234514870323</v>
      </c>
      <c r="P32" s="125">
        <f t="shared" si="43"/>
        <v>37.806194646892806</v>
      </c>
      <c r="Q32" s="125">
        <f t="shared" si="43"/>
        <v>31.532677631251193</v>
      </c>
      <c r="R32" s="117">
        <f t="shared" si="42"/>
        <v>21.421294804000734</v>
      </c>
      <c r="S32" s="125">
        <f t="shared" si="42"/>
        <v>18.648267795942825</v>
      </c>
      <c r="T32" s="125"/>
      <c r="U32" s="117">
        <f t="shared" si="3"/>
        <v>151.74102015825125</v>
      </c>
      <c r="V32" s="125"/>
      <c r="W32" s="117"/>
      <c r="X32" s="125"/>
      <c r="Y32" s="117"/>
      <c r="Z32" s="125"/>
      <c r="AA32" s="125"/>
      <c r="AB32" s="125"/>
      <c r="AC32" s="117">
        <v>4.2</v>
      </c>
      <c r="AD32" s="125"/>
      <c r="AE32" s="125"/>
      <c r="AF32" s="125"/>
      <c r="AG32" s="125"/>
      <c r="AH32" s="125"/>
      <c r="AI32" s="117">
        <f t="shared" si="44"/>
        <v>127.86081770141317</v>
      </c>
      <c r="AJ32" s="125"/>
      <c r="AK32" s="125"/>
      <c r="AL32" s="117">
        <f t="shared" si="6"/>
        <v>132.06081770141316</v>
      </c>
      <c r="AM32" s="111">
        <f t="shared" si="0"/>
        <v>19.680202456838089</v>
      </c>
      <c r="AN32" s="111">
        <f t="shared" si="7"/>
        <v>1692.3482938906716</v>
      </c>
    </row>
    <row r="33" spans="4:40" x14ac:dyDescent="0.3">
      <c r="D33" s="94">
        <v>30</v>
      </c>
      <c r="E33" s="94">
        <v>70</v>
      </c>
      <c r="F33" s="94">
        <v>70</v>
      </c>
      <c r="G33" s="94">
        <v>43</v>
      </c>
      <c r="H33" s="94">
        <v>41</v>
      </c>
      <c r="J33" s="117">
        <f t="shared" si="15"/>
        <v>1692.3482938906716</v>
      </c>
      <c r="K33" s="116">
        <v>0.02</v>
      </c>
      <c r="L33" s="125"/>
      <c r="M33" s="125"/>
      <c r="N33" s="117">
        <f t="shared" si="28"/>
        <v>33.846965877813432</v>
      </c>
      <c r="O33" s="117">
        <f t="shared" si="43"/>
        <v>9.0568079205167731</v>
      </c>
      <c r="P33" s="125">
        <f t="shared" si="43"/>
        <v>38.562318539830663</v>
      </c>
      <c r="Q33" s="125">
        <f t="shared" si="43"/>
        <v>32.163331183876217</v>
      </c>
      <c r="R33" s="117">
        <f t="shared" si="42"/>
        <v>21.421294804000734</v>
      </c>
      <c r="S33" s="125">
        <f t="shared" si="42"/>
        <v>18.648267795942825</v>
      </c>
      <c r="T33" s="125"/>
      <c r="U33" s="117">
        <f t="shared" si="3"/>
        <v>153.69898612198062</v>
      </c>
      <c r="V33" s="125"/>
      <c r="W33" s="117"/>
      <c r="X33" s="125"/>
      <c r="Y33" s="117"/>
      <c r="Z33" s="125"/>
      <c r="AA33" s="125"/>
      <c r="AB33" s="125"/>
      <c r="AC33" s="117">
        <v>4.2</v>
      </c>
      <c r="AD33" s="125"/>
      <c r="AE33" s="125"/>
      <c r="AF33" s="125"/>
      <c r="AG33" s="125"/>
      <c r="AH33" s="125"/>
      <c r="AI33" s="117">
        <f t="shared" si="44"/>
        <v>130.41803405544144</v>
      </c>
      <c r="AJ33" s="125"/>
      <c r="AK33" s="125"/>
      <c r="AL33" s="117">
        <f t="shared" si="6"/>
        <v>134.61803405544143</v>
      </c>
      <c r="AM33" s="111">
        <f t="shared" si="0"/>
        <v>19.080952066539197</v>
      </c>
      <c r="AN33" s="111">
        <f t="shared" si="7"/>
        <v>1711.4292459572107</v>
      </c>
    </row>
    <row r="34" spans="4:40" x14ac:dyDescent="0.3">
      <c r="D34" s="94">
        <v>31</v>
      </c>
      <c r="E34" s="94">
        <v>71</v>
      </c>
      <c r="F34" s="94">
        <v>71</v>
      </c>
      <c r="G34" s="94">
        <v>44</v>
      </c>
      <c r="H34" s="94">
        <v>42</v>
      </c>
      <c r="J34" s="117">
        <f t="shared" si="15"/>
        <v>1711.4292459572107</v>
      </c>
      <c r="K34" s="116">
        <v>0.02</v>
      </c>
      <c r="L34" s="125"/>
      <c r="M34" s="125"/>
      <c r="N34" s="117">
        <f t="shared" si="28"/>
        <v>34.228584919144218</v>
      </c>
      <c r="O34" s="117">
        <f t="shared" si="43"/>
        <v>9.237944078927109</v>
      </c>
      <c r="P34" s="125">
        <f t="shared" si="43"/>
        <v>39.333564910627274</v>
      </c>
      <c r="Q34" s="125">
        <f t="shared" si="43"/>
        <v>32.806597807553743</v>
      </c>
      <c r="R34" s="117">
        <f t="shared" si="42"/>
        <v>21.421294804000734</v>
      </c>
      <c r="S34" s="125">
        <f t="shared" si="42"/>
        <v>18.648267795942825</v>
      </c>
      <c r="T34" s="125"/>
      <c r="U34" s="117">
        <f t="shared" si="3"/>
        <v>155.67625431619589</v>
      </c>
      <c r="V34" s="125"/>
      <c r="W34" s="117"/>
      <c r="X34" s="125"/>
      <c r="Y34" s="117"/>
      <c r="Z34" s="125"/>
      <c r="AA34" s="125"/>
      <c r="AB34" s="125"/>
      <c r="AC34" s="117">
        <v>4.2</v>
      </c>
      <c r="AD34" s="125"/>
      <c r="AE34" s="125"/>
      <c r="AF34" s="125"/>
      <c r="AG34" s="125"/>
      <c r="AH34" s="125"/>
      <c r="AI34" s="117">
        <f t="shared" si="44"/>
        <v>133.02639473655026</v>
      </c>
      <c r="AJ34" s="125"/>
      <c r="AK34" s="125"/>
      <c r="AL34" s="117">
        <f t="shared" si="6"/>
        <v>137.22639473655025</v>
      </c>
      <c r="AM34" s="111">
        <f t="shared" si="0"/>
        <v>18.449859579645647</v>
      </c>
      <c r="AN34" s="111">
        <f t="shared" si="7"/>
        <v>1729.8791055368563</v>
      </c>
    </row>
    <row r="35" spans="4:40" x14ac:dyDescent="0.3">
      <c r="D35" s="94">
        <v>32</v>
      </c>
      <c r="E35" s="94">
        <v>72</v>
      </c>
      <c r="F35" s="94">
        <v>72</v>
      </c>
      <c r="G35" s="94">
        <v>45</v>
      </c>
      <c r="H35" s="94">
        <v>43</v>
      </c>
      <c r="J35" s="117">
        <f t="shared" si="15"/>
        <v>1729.8791055368563</v>
      </c>
      <c r="K35" s="116">
        <v>0.02</v>
      </c>
      <c r="L35" s="125"/>
      <c r="M35" s="125"/>
      <c r="N35" s="117">
        <f t="shared" si="28"/>
        <v>34.597582110737129</v>
      </c>
      <c r="O35" s="117">
        <f t="shared" si="43"/>
        <v>9.4227029605056511</v>
      </c>
      <c r="P35" s="125">
        <f t="shared" si="43"/>
        <v>40.12023620883982</v>
      </c>
      <c r="Q35" s="125">
        <f t="shared" si="43"/>
        <v>33.462729763704822</v>
      </c>
      <c r="R35" s="117">
        <f t="shared" si="42"/>
        <v>21.421294804000734</v>
      </c>
      <c r="S35" s="125">
        <f t="shared" si="42"/>
        <v>18.648267795942825</v>
      </c>
      <c r="T35" s="125"/>
      <c r="U35" s="117">
        <f t="shared" si="3"/>
        <v>157.67281364373096</v>
      </c>
      <c r="V35" s="125"/>
      <c r="W35" s="117"/>
      <c r="X35" s="125"/>
      <c r="Y35" s="117"/>
      <c r="Z35" s="125"/>
      <c r="AA35" s="125"/>
      <c r="AB35" s="125"/>
      <c r="AC35" s="117">
        <v>4.2</v>
      </c>
      <c r="AD35" s="125"/>
      <c r="AE35" s="125"/>
      <c r="AF35" s="125"/>
      <c r="AG35" s="125"/>
      <c r="AH35" s="125"/>
      <c r="AI35" s="117">
        <f t="shared" si="44"/>
        <v>135.68692263128128</v>
      </c>
      <c r="AJ35" s="125"/>
      <c r="AK35" s="125"/>
      <c r="AL35" s="117">
        <f t="shared" si="6"/>
        <v>139.88692263128127</v>
      </c>
      <c r="AM35" s="111">
        <f t="shared" ref="AM35:AM53" si="45">U35-AL35</f>
        <v>17.785891012449696</v>
      </c>
      <c r="AN35" s="111">
        <f t="shared" si="7"/>
        <v>1747.6649965493059</v>
      </c>
    </row>
    <row r="36" spans="4:40" x14ac:dyDescent="0.3">
      <c r="D36" s="94">
        <v>33</v>
      </c>
      <c r="E36" s="94">
        <v>73</v>
      </c>
      <c r="F36" s="94">
        <v>73</v>
      </c>
      <c r="G36" s="94">
        <v>46</v>
      </c>
      <c r="H36" s="94">
        <v>44</v>
      </c>
      <c r="J36" s="117">
        <f t="shared" si="15"/>
        <v>1747.6649965493059</v>
      </c>
      <c r="K36" s="116">
        <v>0.02</v>
      </c>
      <c r="L36" s="125"/>
      <c r="M36" s="125"/>
      <c r="N36" s="117">
        <f t="shared" si="28"/>
        <v>34.95329993098612</v>
      </c>
      <c r="O36" s="117">
        <f t="shared" si="43"/>
        <v>9.6111570197157636</v>
      </c>
      <c r="P36" s="125">
        <f t="shared" si="43"/>
        <v>40.922640933016616</v>
      </c>
      <c r="Q36" s="125">
        <f t="shared" si="43"/>
        <v>34.131984358978919</v>
      </c>
      <c r="R36" s="117">
        <f t="shared" si="42"/>
        <v>21.421294804000734</v>
      </c>
      <c r="S36" s="125">
        <f t="shared" si="42"/>
        <v>18.648267795942825</v>
      </c>
      <c r="T36" s="125"/>
      <c r="U36" s="117">
        <f t="shared" si="3"/>
        <v>159.68864484264094</v>
      </c>
      <c r="V36" s="125"/>
      <c r="W36" s="117"/>
      <c r="X36" s="125"/>
      <c r="Y36" s="117"/>
      <c r="Z36" s="125"/>
      <c r="AA36" s="125"/>
      <c r="AB36" s="125"/>
      <c r="AC36" s="117">
        <v>4.2</v>
      </c>
      <c r="AD36" s="125"/>
      <c r="AE36" s="125"/>
      <c r="AF36" s="125"/>
      <c r="AG36" s="125"/>
      <c r="AH36" s="125"/>
      <c r="AI36" s="117">
        <f t="shared" si="44"/>
        <v>138.4006610839069</v>
      </c>
      <c r="AJ36" s="125"/>
      <c r="AK36" s="125"/>
      <c r="AL36" s="117">
        <f t="shared" si="6"/>
        <v>142.60066108390689</v>
      </c>
      <c r="AM36" s="111">
        <f t="shared" si="45"/>
        <v>17.087983758734055</v>
      </c>
      <c r="AN36" s="111">
        <f t="shared" ref="AN36:AN53" si="46">J36+AM36</f>
        <v>1764.7529803080399</v>
      </c>
    </row>
    <row r="37" spans="4:40" x14ac:dyDescent="0.3">
      <c r="D37" s="94">
        <v>34</v>
      </c>
      <c r="E37" s="94">
        <v>74</v>
      </c>
      <c r="F37" s="94">
        <v>74</v>
      </c>
      <c r="G37" s="94">
        <v>47</v>
      </c>
      <c r="H37" s="94">
        <v>45</v>
      </c>
      <c r="J37" s="117">
        <f t="shared" si="15"/>
        <v>1764.7529803080399</v>
      </c>
      <c r="K37" s="116">
        <v>0.02</v>
      </c>
      <c r="L37" s="125"/>
      <c r="M37" s="125"/>
      <c r="N37" s="117">
        <f t="shared" si="28"/>
        <v>35.295059606160798</v>
      </c>
      <c r="O37" s="117">
        <f t="shared" si="43"/>
        <v>9.8033801601100787</v>
      </c>
      <c r="P37" s="125">
        <f t="shared" si="43"/>
        <v>41.741093751676949</v>
      </c>
      <c r="Q37" s="125">
        <f t="shared" si="43"/>
        <v>34.814624046158499</v>
      </c>
      <c r="R37" s="117">
        <f t="shared" si="42"/>
        <v>21.421294804000734</v>
      </c>
      <c r="S37" s="125">
        <f t="shared" si="42"/>
        <v>18.648267795942825</v>
      </c>
      <c r="T37" s="125"/>
      <c r="U37" s="117">
        <f t="shared" si="3"/>
        <v>161.72372016404987</v>
      </c>
      <c r="V37" s="125"/>
      <c r="W37" s="117"/>
      <c r="X37" s="125"/>
      <c r="Y37" s="117"/>
      <c r="Z37" s="125"/>
      <c r="AA37" s="125"/>
      <c r="AB37" s="125"/>
      <c r="AC37" s="117">
        <v>4.2</v>
      </c>
      <c r="AD37" s="125"/>
      <c r="AE37" s="125"/>
      <c r="AF37" s="125"/>
      <c r="AG37" s="125"/>
      <c r="AH37" s="125"/>
      <c r="AI37" s="117">
        <f t="shared" si="44"/>
        <v>141.16867430558503</v>
      </c>
      <c r="AJ37" s="125"/>
      <c r="AK37" s="125"/>
      <c r="AL37" s="117">
        <f t="shared" si="6"/>
        <v>145.36867430558502</v>
      </c>
      <c r="AM37" s="111">
        <f t="shared" si="45"/>
        <v>16.355045858464848</v>
      </c>
      <c r="AN37" s="111">
        <f t="shared" si="46"/>
        <v>1781.1080261665047</v>
      </c>
    </row>
    <row r="38" spans="4:40" x14ac:dyDescent="0.3">
      <c r="D38" s="94">
        <v>35</v>
      </c>
      <c r="E38" s="94">
        <v>75</v>
      </c>
      <c r="F38" s="94">
        <v>75</v>
      </c>
      <c r="G38" s="94">
        <v>48</v>
      </c>
      <c r="H38" s="94">
        <v>46</v>
      </c>
      <c r="J38" s="117">
        <f t="shared" si="15"/>
        <v>1781.1080261665047</v>
      </c>
      <c r="K38" s="116">
        <v>0.02</v>
      </c>
      <c r="L38" s="125"/>
      <c r="M38" s="125"/>
      <c r="N38" s="117">
        <f t="shared" si="28"/>
        <v>35.622160523330095</v>
      </c>
      <c r="O38" s="117">
        <f t="shared" si="43"/>
        <v>9.9994477633122809</v>
      </c>
      <c r="P38" s="125">
        <f t="shared" si="43"/>
        <v>42.57591562671049</v>
      </c>
      <c r="Q38" s="125">
        <f t="shared" si="43"/>
        <v>35.510916527081669</v>
      </c>
      <c r="R38" s="117">
        <f t="shared" si="42"/>
        <v>21.421294804000734</v>
      </c>
      <c r="S38" s="125">
        <f t="shared" si="42"/>
        <v>18.648267795942825</v>
      </c>
      <c r="T38" s="125"/>
      <c r="U38" s="117">
        <f t="shared" si="3"/>
        <v>163.77800304037808</v>
      </c>
      <c r="V38" s="125"/>
      <c r="W38" s="117"/>
      <c r="X38" s="125"/>
      <c r="Y38" s="117"/>
      <c r="Z38" s="125"/>
      <c r="AA38" s="125"/>
      <c r="AB38" s="125"/>
      <c r="AC38" s="117">
        <v>4.2</v>
      </c>
      <c r="AD38" s="125"/>
      <c r="AE38" s="125"/>
      <c r="AF38" s="125"/>
      <c r="AG38" s="125"/>
      <c r="AH38" s="125"/>
      <c r="AI38" s="117">
        <f t="shared" si="44"/>
        <v>143.99204779169673</v>
      </c>
      <c r="AJ38" s="125"/>
      <c r="AK38" s="125"/>
      <c r="AL38" s="117">
        <f t="shared" si="6"/>
        <v>148.19204779169672</v>
      </c>
      <c r="AM38" s="111">
        <f t="shared" si="45"/>
        <v>15.585955248681358</v>
      </c>
      <c r="AN38" s="111">
        <f t="shared" si="46"/>
        <v>1796.693981415186</v>
      </c>
    </row>
    <row r="39" spans="4:40" x14ac:dyDescent="0.3">
      <c r="D39" s="94">
        <v>36</v>
      </c>
      <c r="E39" s="94">
        <v>76</v>
      </c>
      <c r="F39" s="94">
        <v>76</v>
      </c>
      <c r="G39" s="94">
        <v>49</v>
      </c>
      <c r="H39" s="94">
        <v>47</v>
      </c>
      <c r="J39" s="117">
        <f t="shared" si="15"/>
        <v>1796.693981415186</v>
      </c>
      <c r="K39" s="116">
        <v>0.02</v>
      </c>
      <c r="L39" s="125"/>
      <c r="M39" s="125"/>
      <c r="N39" s="117">
        <f t="shared" si="28"/>
        <v>35.933879628303721</v>
      </c>
      <c r="O39" s="117">
        <f t="shared" si="43"/>
        <v>10.199436718578527</v>
      </c>
      <c r="P39" s="125">
        <f t="shared" si="43"/>
        <v>43.4274339392447</v>
      </c>
      <c r="Q39" s="125">
        <f t="shared" si="43"/>
        <v>36.221134857623305</v>
      </c>
      <c r="R39" s="117">
        <f t="shared" si="42"/>
        <v>21.421294804000734</v>
      </c>
      <c r="S39" s="125">
        <f t="shared" si="42"/>
        <v>18.648267795942825</v>
      </c>
      <c r="T39" s="125"/>
      <c r="U39" s="117">
        <f t="shared" si="3"/>
        <v>165.8514477436938</v>
      </c>
      <c r="V39" s="125"/>
      <c r="W39" s="117"/>
      <c r="X39" s="125"/>
      <c r="Y39" s="117"/>
      <c r="Z39" s="125"/>
      <c r="AA39" s="125"/>
      <c r="AB39" s="125"/>
      <c r="AC39" s="125"/>
      <c r="AD39" s="125"/>
      <c r="AE39" s="125"/>
      <c r="AF39" s="125"/>
      <c r="AG39" s="125"/>
      <c r="AH39" s="125"/>
      <c r="AI39" s="117">
        <f t="shared" si="44"/>
        <v>146.87188874753068</v>
      </c>
      <c r="AJ39" s="125"/>
      <c r="AK39" s="125"/>
      <c r="AL39" s="117">
        <f t="shared" si="6"/>
        <v>146.87188874753068</v>
      </c>
      <c r="AM39" s="111">
        <f t="shared" si="45"/>
        <v>18.979558996163121</v>
      </c>
      <c r="AN39" s="111">
        <f t="shared" si="46"/>
        <v>1815.6735404113492</v>
      </c>
    </row>
    <row r="40" spans="4:40" x14ac:dyDescent="0.3">
      <c r="D40" s="94">
        <v>37</v>
      </c>
      <c r="E40" s="94">
        <v>77</v>
      </c>
      <c r="F40" s="94">
        <v>77</v>
      </c>
      <c r="G40" s="94">
        <v>50</v>
      </c>
      <c r="H40" s="94">
        <v>48</v>
      </c>
      <c r="J40" s="117">
        <f t="shared" si="15"/>
        <v>1815.6735404113492</v>
      </c>
      <c r="K40" s="116">
        <v>0.02</v>
      </c>
      <c r="L40" s="125"/>
      <c r="M40" s="125"/>
      <c r="N40" s="117">
        <f t="shared" si="28"/>
        <v>36.313470808226988</v>
      </c>
      <c r="O40" s="117">
        <f t="shared" si="43"/>
        <v>10.403425452950097</v>
      </c>
      <c r="P40" s="125">
        <f t="shared" si="43"/>
        <v>44.295982618029598</v>
      </c>
      <c r="Q40" s="125">
        <f t="shared" si="43"/>
        <v>36.945557554775775</v>
      </c>
      <c r="R40" s="117">
        <f t="shared" si="42"/>
        <v>21.421294804000734</v>
      </c>
      <c r="S40" s="125">
        <f t="shared" si="42"/>
        <v>18.648267795942825</v>
      </c>
      <c r="T40" s="125"/>
      <c r="U40" s="117">
        <f t="shared" si="3"/>
        <v>168.02799903392599</v>
      </c>
      <c r="V40" s="125"/>
      <c r="W40" s="117"/>
      <c r="X40" s="125"/>
      <c r="Y40" s="117"/>
      <c r="Z40" s="125"/>
      <c r="AA40" s="125"/>
      <c r="AB40" s="125"/>
      <c r="AC40" s="125"/>
      <c r="AD40" s="125"/>
      <c r="AE40" s="125"/>
      <c r="AF40" s="125"/>
      <c r="AG40" s="125"/>
      <c r="AH40" s="125"/>
      <c r="AI40" s="117">
        <f t="shared" si="44"/>
        <v>149.80932652248129</v>
      </c>
      <c r="AJ40" s="125"/>
      <c r="AK40" s="125"/>
      <c r="AL40" s="117">
        <f t="shared" si="6"/>
        <v>149.80932652248129</v>
      </c>
      <c r="AM40" s="111">
        <f t="shared" si="45"/>
        <v>18.218672511444709</v>
      </c>
      <c r="AN40" s="111">
        <f t="shared" si="46"/>
        <v>1833.892212922794</v>
      </c>
    </row>
    <row r="41" spans="4:40" x14ac:dyDescent="0.3">
      <c r="D41" s="94">
        <v>38</v>
      </c>
      <c r="E41" s="94">
        <v>78</v>
      </c>
      <c r="F41" s="94">
        <v>78</v>
      </c>
      <c r="G41" s="94">
        <v>51</v>
      </c>
      <c r="H41" s="94">
        <v>49</v>
      </c>
      <c r="J41" s="117">
        <f t="shared" si="15"/>
        <v>1833.892212922794</v>
      </c>
      <c r="K41" s="116">
        <v>0.02</v>
      </c>
      <c r="L41" s="125"/>
      <c r="M41" s="125"/>
      <c r="N41" s="117">
        <f t="shared" si="28"/>
        <v>36.677844258455877</v>
      </c>
      <c r="O41" s="117">
        <f t="shared" si="43"/>
        <v>10.611493962009099</v>
      </c>
      <c r="P41" s="125">
        <f t="shared" si="43"/>
        <v>45.181902270390189</v>
      </c>
      <c r="Q41" s="125">
        <f t="shared" si="43"/>
        <v>37.684468705871289</v>
      </c>
      <c r="R41" s="117">
        <f t="shared" si="42"/>
        <v>21.421294804000734</v>
      </c>
      <c r="S41" s="125">
        <f t="shared" si="42"/>
        <v>18.648267795942825</v>
      </c>
      <c r="T41" s="125"/>
      <c r="U41" s="117">
        <f t="shared" si="3"/>
        <v>170.22527179667</v>
      </c>
      <c r="V41" s="125"/>
      <c r="W41" s="117"/>
      <c r="X41" s="125"/>
      <c r="Y41" s="117"/>
      <c r="Z41" s="125"/>
      <c r="AA41" s="125"/>
      <c r="AB41" s="125"/>
      <c r="AC41" s="125"/>
      <c r="AD41" s="125"/>
      <c r="AE41" s="125"/>
      <c r="AF41" s="125"/>
      <c r="AG41" s="125"/>
      <c r="AH41" s="125"/>
      <c r="AI41" s="117">
        <f t="shared" si="44"/>
        <v>152.80551305293091</v>
      </c>
      <c r="AJ41" s="125"/>
      <c r="AK41" s="125"/>
      <c r="AL41" s="117">
        <f t="shared" si="6"/>
        <v>152.80551305293091</v>
      </c>
      <c r="AM41" s="111">
        <f t="shared" si="45"/>
        <v>17.419758743739095</v>
      </c>
      <c r="AN41" s="111">
        <f t="shared" si="46"/>
        <v>1851.3119716665331</v>
      </c>
    </row>
    <row r="42" spans="4:40" x14ac:dyDescent="0.3">
      <c r="D42" s="94">
        <v>39</v>
      </c>
      <c r="E42" s="94">
        <v>79</v>
      </c>
      <c r="F42" s="94">
        <v>79</v>
      </c>
      <c r="G42" s="94">
        <v>52</v>
      </c>
      <c r="H42" s="94">
        <v>50</v>
      </c>
      <c r="J42" s="117">
        <f t="shared" si="15"/>
        <v>1851.3119716665331</v>
      </c>
      <c r="K42" s="116">
        <v>0.02</v>
      </c>
      <c r="L42" s="125"/>
      <c r="M42" s="125"/>
      <c r="N42" s="117">
        <f t="shared" si="28"/>
        <v>37.026239433330659</v>
      </c>
      <c r="O42" s="117">
        <f t="shared" si="43"/>
        <v>10.823723841249281</v>
      </c>
      <c r="P42" s="125">
        <f t="shared" si="43"/>
        <v>46.085540315797992</v>
      </c>
      <c r="Q42" s="125">
        <f t="shared" si="43"/>
        <v>38.438158079988717</v>
      </c>
      <c r="R42" s="117">
        <f t="shared" si="42"/>
        <v>21.421294804000734</v>
      </c>
      <c r="S42" s="125">
        <f t="shared" si="42"/>
        <v>18.648267795942825</v>
      </c>
      <c r="T42" s="125"/>
      <c r="U42" s="117">
        <f t="shared" si="3"/>
        <v>172.4432242703102</v>
      </c>
      <c r="V42" s="125"/>
      <c r="W42" s="117"/>
      <c r="X42" s="125"/>
      <c r="Y42" s="117"/>
      <c r="Z42" s="125"/>
      <c r="AA42" s="125"/>
      <c r="AB42" s="125"/>
      <c r="AC42" s="125"/>
      <c r="AD42" s="125"/>
      <c r="AE42" s="125"/>
      <c r="AF42" s="125"/>
      <c r="AG42" s="125"/>
      <c r="AH42" s="125"/>
      <c r="AI42" s="117">
        <f t="shared" si="44"/>
        <v>155.86162331398953</v>
      </c>
      <c r="AJ42" s="125"/>
      <c r="AK42" s="125"/>
      <c r="AL42" s="117">
        <f t="shared" si="6"/>
        <v>155.86162331398953</v>
      </c>
      <c r="AM42" s="111">
        <f t="shared" si="45"/>
        <v>16.581600956320671</v>
      </c>
      <c r="AN42" s="111">
        <f t="shared" si="46"/>
        <v>1867.8935726228538</v>
      </c>
    </row>
    <row r="43" spans="4:40" x14ac:dyDescent="0.3">
      <c r="D43" s="94">
        <v>40</v>
      </c>
      <c r="E43" s="94">
        <v>80</v>
      </c>
      <c r="F43" s="94">
        <v>80</v>
      </c>
      <c r="G43" s="94">
        <v>53</v>
      </c>
      <c r="H43" s="94">
        <v>51</v>
      </c>
      <c r="J43" s="117">
        <f t="shared" si="15"/>
        <v>1867.8935726228538</v>
      </c>
      <c r="K43" s="116">
        <v>0.02</v>
      </c>
      <c r="L43" s="125"/>
      <c r="M43" s="125"/>
      <c r="N43" s="117">
        <f t="shared" si="28"/>
        <v>37.357871452457076</v>
      </c>
      <c r="O43" s="117">
        <f t="shared" si="43"/>
        <v>11.040198318074268</v>
      </c>
      <c r="P43" s="125">
        <f t="shared" si="43"/>
        <v>47.007251122113949</v>
      </c>
      <c r="Q43" s="125">
        <f t="shared" si="43"/>
        <v>39.206921241588489</v>
      </c>
      <c r="R43" s="117">
        <f t="shared" si="42"/>
        <v>21.421294804000734</v>
      </c>
      <c r="S43" s="125">
        <f t="shared" si="42"/>
        <v>18.648267795942825</v>
      </c>
      <c r="T43" s="125"/>
      <c r="U43" s="117">
        <f t="shared" si="3"/>
        <v>174.68180473417732</v>
      </c>
      <c r="V43" s="125"/>
      <c r="W43" s="117"/>
      <c r="X43" s="125"/>
      <c r="Y43" s="117"/>
      <c r="Z43" s="125"/>
      <c r="AA43" s="125"/>
      <c r="AB43" s="125"/>
      <c r="AC43" s="125"/>
      <c r="AD43" s="125"/>
      <c r="AE43" s="125"/>
      <c r="AF43" s="125"/>
      <c r="AG43" s="125"/>
      <c r="AH43" s="125"/>
      <c r="AI43" s="117">
        <f t="shared" si="44"/>
        <v>158.97885578026933</v>
      </c>
      <c r="AJ43" s="125"/>
      <c r="AK43" s="125"/>
      <c r="AL43" s="117">
        <f t="shared" si="6"/>
        <v>158.97885578026933</v>
      </c>
      <c r="AM43" s="111">
        <f t="shared" si="45"/>
        <v>15.702948953907992</v>
      </c>
      <c r="AN43" s="111">
        <f t="shared" si="46"/>
        <v>1883.5965215767617</v>
      </c>
    </row>
    <row r="44" spans="4:40" x14ac:dyDescent="0.3">
      <c r="D44" s="94">
        <v>41</v>
      </c>
      <c r="E44" s="94">
        <v>81</v>
      </c>
      <c r="F44" s="94">
        <v>81</v>
      </c>
      <c r="G44" s="94">
        <v>54</v>
      </c>
      <c r="H44" s="94">
        <v>52</v>
      </c>
      <c r="J44" s="117">
        <f t="shared" si="15"/>
        <v>1883.5965215767617</v>
      </c>
      <c r="K44" s="116">
        <v>0.02</v>
      </c>
      <c r="L44" s="125"/>
      <c r="M44" s="125"/>
      <c r="N44" s="117">
        <f t="shared" si="28"/>
        <v>37.671930431535237</v>
      </c>
      <c r="O44" s="117">
        <f t="shared" si="43"/>
        <v>11.261002284435753</v>
      </c>
      <c r="P44" s="125">
        <f t="shared" si="43"/>
        <v>47.94739614455623</v>
      </c>
      <c r="Q44" s="125">
        <f t="shared" si="43"/>
        <v>39.991059666420263</v>
      </c>
      <c r="R44" s="117">
        <f t="shared" si="42"/>
        <v>21.421294804000734</v>
      </c>
      <c r="S44" s="125">
        <f t="shared" si="42"/>
        <v>18.648267795942825</v>
      </c>
      <c r="T44" s="125"/>
      <c r="U44" s="117">
        <f t="shared" si="3"/>
        <v>176.94095112689101</v>
      </c>
      <c r="V44" s="125"/>
      <c r="W44" s="117"/>
      <c r="X44" s="125"/>
      <c r="Y44" s="117"/>
      <c r="Z44" s="125"/>
      <c r="AA44" s="125"/>
      <c r="AB44" s="125"/>
      <c r="AC44" s="125"/>
      <c r="AD44" s="125"/>
      <c r="AE44" s="125"/>
      <c r="AF44" s="125"/>
      <c r="AG44" s="125"/>
      <c r="AH44" s="125"/>
      <c r="AI44" s="117">
        <f t="shared" si="44"/>
        <v>162.15843289587471</v>
      </c>
      <c r="AJ44" s="125"/>
      <c r="AK44" s="125"/>
      <c r="AL44" s="117">
        <f t="shared" si="6"/>
        <v>162.15843289587471</v>
      </c>
      <c r="AM44" s="111">
        <f t="shared" si="45"/>
        <v>14.782518231016297</v>
      </c>
      <c r="AN44" s="111">
        <f t="shared" si="46"/>
        <v>1898.3790398077781</v>
      </c>
    </row>
    <row r="45" spans="4:40" x14ac:dyDescent="0.3">
      <c r="D45" s="94">
        <v>42</v>
      </c>
      <c r="E45" s="94">
        <v>82</v>
      </c>
      <c r="F45" s="94">
        <v>82</v>
      </c>
      <c r="G45" s="94">
        <v>55</v>
      </c>
      <c r="H45" s="94">
        <v>53</v>
      </c>
      <c r="J45" s="117">
        <f t="shared" si="15"/>
        <v>1898.3790398077781</v>
      </c>
      <c r="K45" s="116">
        <v>0.02</v>
      </c>
      <c r="L45" s="125"/>
      <c r="M45" s="125"/>
      <c r="N45" s="117">
        <f t="shared" si="28"/>
        <v>37.967580796155566</v>
      </c>
      <c r="O45" s="117">
        <f t="shared" si="43"/>
        <v>11.486222330124468</v>
      </c>
      <c r="P45" s="125">
        <f t="shared" si="43"/>
        <v>48.906344067447357</v>
      </c>
      <c r="Q45" s="125">
        <f t="shared" si="43"/>
        <v>40.790880859748668</v>
      </c>
      <c r="R45" s="117">
        <f t="shared" si="42"/>
        <v>21.421294804000734</v>
      </c>
      <c r="S45" s="125">
        <f t="shared" si="42"/>
        <v>18.648267795942825</v>
      </c>
      <c r="T45" s="125"/>
      <c r="U45" s="117">
        <f t="shared" si="3"/>
        <v>179.22059065341961</v>
      </c>
      <c r="V45" s="125"/>
      <c r="W45" s="117"/>
      <c r="X45" s="125"/>
      <c r="Y45" s="117"/>
      <c r="Z45" s="125"/>
      <c r="AA45" s="125"/>
      <c r="AB45" s="125"/>
      <c r="AC45" s="125"/>
      <c r="AD45" s="125"/>
      <c r="AE45" s="125"/>
      <c r="AF45" s="125"/>
      <c r="AG45" s="125"/>
      <c r="AH45" s="125"/>
      <c r="AI45" s="117">
        <f t="shared" si="44"/>
        <v>165.4016015537922</v>
      </c>
      <c r="AJ45" s="125"/>
      <c r="AK45" s="125"/>
      <c r="AL45" s="117">
        <f t="shared" si="6"/>
        <v>165.4016015537922</v>
      </c>
      <c r="AM45" s="111">
        <f t="shared" si="45"/>
        <v>13.818989099627402</v>
      </c>
      <c r="AN45" s="111">
        <f t="shared" si="46"/>
        <v>1912.1980289074054</v>
      </c>
    </row>
    <row r="46" spans="4:40" x14ac:dyDescent="0.3">
      <c r="D46" s="94">
        <v>43</v>
      </c>
      <c r="E46" s="94">
        <v>83</v>
      </c>
      <c r="F46" s="94">
        <v>83</v>
      </c>
      <c r="G46" s="94">
        <v>56</v>
      </c>
      <c r="H46" s="94">
        <v>54</v>
      </c>
      <c r="J46" s="117">
        <f t="shared" si="15"/>
        <v>1912.1980289074054</v>
      </c>
      <c r="K46" s="116">
        <v>0.02</v>
      </c>
      <c r="L46" s="125"/>
      <c r="M46" s="125"/>
      <c r="N46" s="117">
        <f t="shared" si="28"/>
        <v>38.243960578148112</v>
      </c>
      <c r="O46" s="117">
        <f t="shared" si="43"/>
        <v>11.715946776726957</v>
      </c>
      <c r="P46" s="125">
        <f t="shared" si="43"/>
        <v>49.884470948796306</v>
      </c>
      <c r="Q46" s="125">
        <f t="shared" si="43"/>
        <v>41.606698476943642</v>
      </c>
      <c r="R46" s="117">
        <f t="shared" ref="R46:S47" si="47">R45</f>
        <v>21.421294804000734</v>
      </c>
      <c r="S46" s="125">
        <f t="shared" si="47"/>
        <v>18.648267795942825</v>
      </c>
      <c r="T46" s="125"/>
      <c r="U46" s="117">
        <f t="shared" si="3"/>
        <v>181.52063938055855</v>
      </c>
      <c r="V46" s="125"/>
      <c r="W46" s="117"/>
      <c r="X46" s="125"/>
      <c r="Y46" s="117"/>
      <c r="Z46" s="125"/>
      <c r="AA46" s="125"/>
      <c r="AB46" s="125"/>
      <c r="AC46" s="125"/>
      <c r="AD46" s="125"/>
      <c r="AE46" s="125"/>
      <c r="AF46" s="125"/>
      <c r="AG46" s="125"/>
      <c r="AH46" s="125"/>
      <c r="AI46" s="117">
        <f t="shared" si="44"/>
        <v>168.70963358486804</v>
      </c>
      <c r="AJ46" s="125"/>
      <c r="AK46" s="125"/>
      <c r="AL46" s="117">
        <f t="shared" si="6"/>
        <v>168.70963358486804</v>
      </c>
      <c r="AM46" s="111">
        <f t="shared" si="45"/>
        <v>12.811005795690505</v>
      </c>
      <c r="AN46" s="111">
        <f t="shared" si="46"/>
        <v>1925.0090347030959</v>
      </c>
    </row>
    <row r="47" spans="4:40" x14ac:dyDescent="0.3">
      <c r="D47" s="94">
        <v>44</v>
      </c>
      <c r="E47" s="94">
        <v>84</v>
      </c>
      <c r="F47" s="94">
        <v>84</v>
      </c>
      <c r="G47" s="94">
        <v>57</v>
      </c>
      <c r="H47" s="94">
        <v>55</v>
      </c>
      <c r="J47" s="117">
        <f t="shared" si="15"/>
        <v>1925.0090347030959</v>
      </c>
      <c r="K47" s="116">
        <v>0.02</v>
      </c>
      <c r="L47" s="125"/>
      <c r="M47" s="125"/>
      <c r="N47" s="117">
        <f t="shared" si="28"/>
        <v>38.500180694061918</v>
      </c>
      <c r="O47" s="117">
        <f t="shared" ref="O47:Q53" si="48">O46*(1+$B$3)</f>
        <v>11.950265712261496</v>
      </c>
      <c r="P47" s="125">
        <f t="shared" si="48"/>
        <v>50.882160367772229</v>
      </c>
      <c r="Q47" s="125">
        <f t="shared" si="48"/>
        <v>42.438832446482515</v>
      </c>
      <c r="R47" s="117">
        <f t="shared" si="47"/>
        <v>21.421294804000734</v>
      </c>
      <c r="S47" s="125">
        <f t="shared" si="47"/>
        <v>18.648267795942825</v>
      </c>
      <c r="T47" s="125"/>
      <c r="U47" s="117">
        <f t="shared" si="3"/>
        <v>183.84100182052168</v>
      </c>
      <c r="V47" s="125"/>
      <c r="W47" s="117"/>
      <c r="X47" s="125"/>
      <c r="Y47" s="117"/>
      <c r="Z47" s="125"/>
      <c r="AA47" s="125"/>
      <c r="AB47" s="125"/>
      <c r="AC47" s="125"/>
      <c r="AD47" s="125"/>
      <c r="AE47" s="125"/>
      <c r="AF47" s="125"/>
      <c r="AG47" s="125"/>
      <c r="AH47" s="125"/>
      <c r="AI47" s="117">
        <f t="shared" si="44"/>
        <v>172.0838262565654</v>
      </c>
      <c r="AJ47" s="125"/>
      <c r="AK47" s="125"/>
      <c r="AL47" s="117">
        <f t="shared" si="6"/>
        <v>172.0838262565654</v>
      </c>
      <c r="AM47" s="111">
        <f t="shared" si="45"/>
        <v>11.757175563956281</v>
      </c>
      <c r="AN47" s="111">
        <f t="shared" si="46"/>
        <v>1936.7662102670522</v>
      </c>
    </row>
    <row r="48" spans="4:40" x14ac:dyDescent="0.3">
      <c r="D48" s="94">
        <v>45</v>
      </c>
      <c r="E48" s="94">
        <v>85</v>
      </c>
      <c r="F48" s="94">
        <v>85</v>
      </c>
      <c r="G48" s="94">
        <v>58</v>
      </c>
      <c r="H48" s="94">
        <v>56</v>
      </c>
      <c r="J48" s="117">
        <f t="shared" si="15"/>
        <v>1936.7662102670522</v>
      </c>
      <c r="K48" s="116">
        <v>0.02</v>
      </c>
      <c r="L48" s="125"/>
      <c r="M48" s="125"/>
      <c r="N48" s="117">
        <f t="shared" si="28"/>
        <v>38.735324205341044</v>
      </c>
      <c r="O48" s="117">
        <f t="shared" si="48"/>
        <v>12.189271026506725</v>
      </c>
      <c r="P48" s="125">
        <f t="shared" si="48"/>
        <v>51.899803575127677</v>
      </c>
      <c r="Q48" s="125">
        <f t="shared" si="48"/>
        <v>43.287609095412165</v>
      </c>
      <c r="R48" s="117"/>
      <c r="S48" s="125"/>
      <c r="T48" s="125"/>
      <c r="U48" s="117">
        <f t="shared" si="3"/>
        <v>146.1120079023876</v>
      </c>
      <c r="V48" s="125"/>
      <c r="W48" s="117"/>
      <c r="X48" s="125"/>
      <c r="Y48" s="117"/>
      <c r="Z48" s="125"/>
      <c r="AA48" s="125"/>
      <c r="AB48" s="125"/>
      <c r="AC48" s="125"/>
      <c r="AD48" s="125"/>
      <c r="AE48" s="125"/>
      <c r="AF48" s="125"/>
      <c r="AG48" s="125"/>
      <c r="AH48" s="125"/>
      <c r="AI48" s="117">
        <f t="shared" si="44"/>
        <v>175.5255027816967</v>
      </c>
      <c r="AJ48" s="125"/>
      <c r="AK48" s="125"/>
      <c r="AL48" s="117">
        <f t="shared" si="6"/>
        <v>175.5255027816967</v>
      </c>
      <c r="AM48" s="111">
        <f t="shared" si="45"/>
        <v>-29.413494879309098</v>
      </c>
      <c r="AN48" s="111">
        <f t="shared" si="46"/>
        <v>1907.352715387743</v>
      </c>
    </row>
    <row r="49" spans="4:40" x14ac:dyDescent="0.3">
      <c r="D49" s="94">
        <v>46</v>
      </c>
      <c r="E49" s="94">
        <v>86</v>
      </c>
      <c r="F49" s="94">
        <v>86</v>
      </c>
      <c r="G49" s="94">
        <v>59</v>
      </c>
      <c r="H49" s="94">
        <v>57</v>
      </c>
      <c r="J49" s="117">
        <f t="shared" si="15"/>
        <v>1907.352715387743</v>
      </c>
      <c r="K49" s="116">
        <v>0.02</v>
      </c>
      <c r="L49" s="125"/>
      <c r="M49" s="125"/>
      <c r="N49" s="117">
        <f t="shared" si="28"/>
        <v>38.147054307754864</v>
      </c>
      <c r="O49" s="117">
        <f t="shared" si="48"/>
        <v>12.43305644703686</v>
      </c>
      <c r="P49" s="125">
        <f t="shared" si="48"/>
        <v>52.937799646630232</v>
      </c>
      <c r="Q49" s="125">
        <f t="shared" si="48"/>
        <v>44.153361277320407</v>
      </c>
      <c r="R49" s="117"/>
      <c r="S49" s="125"/>
      <c r="T49" s="125"/>
      <c r="U49" s="117">
        <f t="shared" si="3"/>
        <v>147.67127167874236</v>
      </c>
      <c r="V49" s="125"/>
      <c r="W49" s="117"/>
      <c r="X49" s="125"/>
      <c r="Y49" s="117"/>
      <c r="Z49" s="125"/>
      <c r="AA49" s="125"/>
      <c r="AB49" s="125"/>
      <c r="AC49" s="125"/>
      <c r="AD49" s="125"/>
      <c r="AE49" s="125"/>
      <c r="AF49" s="125"/>
      <c r="AG49" s="125"/>
      <c r="AH49" s="125"/>
      <c r="AI49" s="117">
        <f t="shared" si="44"/>
        <v>179.03601283733065</v>
      </c>
      <c r="AJ49" s="125"/>
      <c r="AK49" s="125"/>
      <c r="AL49" s="117">
        <f t="shared" si="6"/>
        <v>179.03601283733065</v>
      </c>
      <c r="AM49" s="111">
        <f t="shared" si="45"/>
        <v>-31.364741158588288</v>
      </c>
      <c r="AN49" s="111">
        <f t="shared" si="46"/>
        <v>1875.9879742291548</v>
      </c>
    </row>
    <row r="50" spans="4:40" x14ac:dyDescent="0.3">
      <c r="D50" s="94">
        <v>47</v>
      </c>
      <c r="E50" s="94">
        <v>87</v>
      </c>
      <c r="F50" s="94">
        <v>87</v>
      </c>
      <c r="G50" s="94">
        <v>60</v>
      </c>
      <c r="H50" s="94">
        <v>58</v>
      </c>
      <c r="J50" s="117">
        <f t="shared" si="15"/>
        <v>1875.9879742291548</v>
      </c>
      <c r="K50" s="116">
        <v>0.02</v>
      </c>
      <c r="L50" s="125"/>
      <c r="M50" s="125"/>
      <c r="N50" s="117">
        <f t="shared" si="28"/>
        <v>37.519759484583098</v>
      </c>
      <c r="O50" s="117">
        <f t="shared" si="48"/>
        <v>12.681717575977597</v>
      </c>
      <c r="P50" s="125">
        <f t="shared" si="48"/>
        <v>53.996555639562835</v>
      </c>
      <c r="Q50" s="125">
        <f t="shared" si="48"/>
        <v>45.036428502866819</v>
      </c>
      <c r="R50" s="117"/>
      <c r="S50" s="125"/>
      <c r="T50" s="125"/>
      <c r="U50" s="117">
        <f t="shared" si="3"/>
        <v>149.23446120299033</v>
      </c>
      <c r="V50" s="125"/>
      <c r="W50" s="117"/>
      <c r="X50" s="125"/>
      <c r="Y50" s="117"/>
      <c r="Z50" s="125"/>
      <c r="AA50" s="125"/>
      <c r="AB50" s="125"/>
      <c r="AC50" s="125"/>
      <c r="AD50" s="125"/>
      <c r="AE50" s="125"/>
      <c r="AF50" s="125"/>
      <c r="AG50" s="125"/>
      <c r="AH50" s="125"/>
      <c r="AI50" s="117">
        <f t="shared" si="44"/>
        <v>182.61673309407726</v>
      </c>
      <c r="AJ50" s="125"/>
      <c r="AK50" s="125"/>
      <c r="AL50" s="117">
        <f t="shared" si="6"/>
        <v>182.61673309407726</v>
      </c>
      <c r="AM50" s="111">
        <f t="shared" si="45"/>
        <v>-33.38227189108693</v>
      </c>
      <c r="AN50" s="111">
        <f t="shared" si="46"/>
        <v>1842.6057023380679</v>
      </c>
    </row>
    <row r="51" spans="4:40" x14ac:dyDescent="0.3">
      <c r="D51" s="94">
        <v>48</v>
      </c>
      <c r="E51" s="94">
        <v>88</v>
      </c>
      <c r="F51" s="94">
        <v>88</v>
      </c>
      <c r="G51" s="94">
        <v>61</v>
      </c>
      <c r="H51" s="94">
        <v>59</v>
      </c>
      <c r="J51" s="117">
        <f t="shared" si="15"/>
        <v>1842.6057023380679</v>
      </c>
      <c r="K51" s="116">
        <v>0.02</v>
      </c>
      <c r="L51" s="125"/>
      <c r="M51" s="125"/>
      <c r="N51" s="117">
        <f t="shared" si="28"/>
        <v>36.852114046761358</v>
      </c>
      <c r="O51" s="117">
        <f t="shared" si="48"/>
        <v>12.93535192749715</v>
      </c>
      <c r="P51" s="125">
        <f t="shared" si="48"/>
        <v>55.076486752354093</v>
      </c>
      <c r="Q51" s="125">
        <f t="shared" si="48"/>
        <v>45.937157072924158</v>
      </c>
      <c r="R51" s="117"/>
      <c r="S51" s="125"/>
      <c r="T51" s="125"/>
      <c r="U51" s="117">
        <f t="shared" si="3"/>
        <v>150.80110979953676</v>
      </c>
      <c r="V51" s="125"/>
      <c r="W51" s="117"/>
      <c r="X51" s="125"/>
      <c r="Y51" s="117"/>
      <c r="Z51" s="125"/>
      <c r="AA51" s="125"/>
      <c r="AB51" s="125"/>
      <c r="AC51" s="125"/>
      <c r="AD51" s="125"/>
      <c r="AE51" s="125"/>
      <c r="AF51" s="125"/>
      <c r="AG51" s="125"/>
      <c r="AH51" s="125"/>
      <c r="AI51" s="117">
        <f t="shared" si="44"/>
        <v>186.26906775595882</v>
      </c>
      <c r="AJ51" s="125"/>
      <c r="AK51" s="125"/>
      <c r="AL51" s="117">
        <f t="shared" si="6"/>
        <v>186.26906775595882</v>
      </c>
      <c r="AM51" s="111">
        <f t="shared" si="45"/>
        <v>-35.467957956422055</v>
      </c>
      <c r="AN51" s="111">
        <f t="shared" si="46"/>
        <v>1807.1377443816459</v>
      </c>
    </row>
    <row r="52" spans="4:40" x14ac:dyDescent="0.3">
      <c r="D52" s="94">
        <v>49</v>
      </c>
      <c r="E52" s="94">
        <v>89</v>
      </c>
      <c r="F52" s="94">
        <v>89</v>
      </c>
      <c r="G52" s="94">
        <v>62</v>
      </c>
      <c r="H52" s="94">
        <v>60</v>
      </c>
      <c r="J52" s="117">
        <f t="shared" si="15"/>
        <v>1807.1377443816459</v>
      </c>
      <c r="K52" s="116">
        <v>0.02</v>
      </c>
      <c r="L52" s="125"/>
      <c r="M52" s="125"/>
      <c r="N52" s="117">
        <f t="shared" si="28"/>
        <v>36.142754887632918</v>
      </c>
      <c r="O52" s="117">
        <f t="shared" si="48"/>
        <v>13.194058966047093</v>
      </c>
      <c r="P52" s="125">
        <f t="shared" si="48"/>
        <v>56.178016487401173</v>
      </c>
      <c r="Q52" s="125">
        <f t="shared" si="48"/>
        <v>46.855900214382643</v>
      </c>
      <c r="R52" s="117"/>
      <c r="S52" s="125"/>
      <c r="T52" s="125"/>
      <c r="U52" s="117">
        <f t="shared" si="3"/>
        <v>152.37073055546384</v>
      </c>
      <c r="V52" s="125"/>
      <c r="W52" s="117"/>
      <c r="X52" s="125"/>
      <c r="Y52" s="117"/>
      <c r="Z52" s="125"/>
      <c r="AA52" s="125"/>
      <c r="AB52" s="125"/>
      <c r="AC52" s="125"/>
      <c r="AD52" s="125"/>
      <c r="AE52" s="125"/>
      <c r="AF52" s="125"/>
      <c r="AG52" s="125"/>
      <c r="AH52" s="125"/>
      <c r="AI52" s="117">
        <f t="shared" si="44"/>
        <v>189.99444911107798</v>
      </c>
      <c r="AJ52" s="125"/>
      <c r="AK52" s="125"/>
      <c r="AL52" s="117">
        <f t="shared" si="6"/>
        <v>189.99444911107798</v>
      </c>
      <c r="AM52" s="111">
        <f t="shared" si="45"/>
        <v>-37.623718555614147</v>
      </c>
      <c r="AN52" s="111">
        <f t="shared" si="46"/>
        <v>1769.5140258260317</v>
      </c>
    </row>
    <row r="53" spans="4:40" x14ac:dyDescent="0.3">
      <c r="D53" s="99">
        <v>50</v>
      </c>
      <c r="E53" s="99">
        <v>90</v>
      </c>
      <c r="F53" s="99">
        <v>90</v>
      </c>
      <c r="G53" s="99">
        <v>63</v>
      </c>
      <c r="H53" s="99">
        <v>61</v>
      </c>
      <c r="I53" s="17"/>
      <c r="J53" s="122">
        <f t="shared" si="15"/>
        <v>1769.5140258260317</v>
      </c>
      <c r="K53" s="121">
        <v>0.02</v>
      </c>
      <c r="L53" s="126"/>
      <c r="M53" s="126"/>
      <c r="N53" s="122">
        <f t="shared" si="28"/>
        <v>35.390280516520633</v>
      </c>
      <c r="O53" s="122">
        <f t="shared" si="48"/>
        <v>13.457940145368035</v>
      </c>
      <c r="P53" s="126">
        <f t="shared" si="48"/>
        <v>57.301576817149197</v>
      </c>
      <c r="Q53" s="126">
        <f t="shared" si="48"/>
        <v>47.793018218670298</v>
      </c>
      <c r="R53" s="126"/>
      <c r="S53" s="126"/>
      <c r="T53" s="126"/>
      <c r="U53" s="122">
        <f>SUM(L53:T53)</f>
        <v>153.94281569770817</v>
      </c>
      <c r="V53" s="126"/>
      <c r="W53" s="122"/>
      <c r="X53" s="126"/>
      <c r="Y53" s="122"/>
      <c r="Z53" s="126"/>
      <c r="AA53" s="126"/>
      <c r="AB53" s="126"/>
      <c r="AC53" s="126"/>
      <c r="AD53" s="126"/>
      <c r="AE53" s="126"/>
      <c r="AF53" s="126"/>
      <c r="AG53" s="126"/>
      <c r="AH53" s="126"/>
      <c r="AI53" s="122">
        <f t="shared" si="44"/>
        <v>193.79433809329956</v>
      </c>
      <c r="AJ53" s="126"/>
      <c r="AK53" s="126"/>
      <c r="AL53" s="122">
        <f t="shared" si="6"/>
        <v>193.79433809329956</v>
      </c>
      <c r="AM53" s="115">
        <f t="shared" si="45"/>
        <v>-39.851522395591388</v>
      </c>
      <c r="AN53" s="115">
        <f t="shared" si="46"/>
        <v>1729.6625034304402</v>
      </c>
    </row>
  </sheetData>
  <mergeCells count="25">
    <mergeCell ref="A1:B1"/>
    <mergeCell ref="AP1:AQ1"/>
    <mergeCell ref="AR1:AS1"/>
    <mergeCell ref="Q1:Q2"/>
    <mergeCell ref="R1:R2"/>
    <mergeCell ref="S1:S2"/>
    <mergeCell ref="T1:T2"/>
    <mergeCell ref="U1:U2"/>
    <mergeCell ref="V1:AJ1"/>
    <mergeCell ref="AK1:AK2"/>
    <mergeCell ref="AL1:AL2"/>
    <mergeCell ref="AM1:AM2"/>
    <mergeCell ref="AN1:AN2"/>
    <mergeCell ref="P1:P2"/>
    <mergeCell ref="D1:D2"/>
    <mergeCell ref="E1:E2"/>
    <mergeCell ref="K1:K2"/>
    <mergeCell ref="L1:M1"/>
    <mergeCell ref="N1:N2"/>
    <mergeCell ref="O1:O2"/>
    <mergeCell ref="F1:F2"/>
    <mergeCell ref="G1:G2"/>
    <mergeCell ref="H1:H2"/>
    <mergeCell ref="I1:I2"/>
    <mergeCell ref="J1:J2"/>
  </mergeCells>
  <phoneticPr fontId="26" type="noConversion"/>
  <conditionalFormatting sqref="AN3:AN1048576">
    <cfRule type="cellIs" dxfId="15" priority="2" operator="lessThan">
      <formula>0</formula>
    </cfRule>
  </conditionalFormatting>
  <conditionalFormatting sqref="AN1:AN2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6"/>
  <sheetViews>
    <sheetView zoomScaleNormal="100" workbookViewId="0">
      <pane ySplit="3" topLeftCell="A4" activePane="bottomLeft" state="frozen"/>
      <selection pane="bottomLeft" sqref="A1:F2"/>
    </sheetView>
  </sheetViews>
  <sheetFormatPr defaultRowHeight="14.5" x14ac:dyDescent="0.3"/>
  <cols>
    <col min="1" max="1" width="4.5" customWidth="1"/>
    <col min="2" max="2" width="25.5" customWidth="1"/>
    <col min="3" max="3" width="13.59765625" customWidth="1"/>
    <col min="4" max="4" width="19.796875" customWidth="1"/>
    <col min="5" max="5" width="18.3984375" customWidth="1"/>
    <col min="6" max="6" width="18.5" customWidth="1"/>
    <col min="8" max="8" width="12.19921875" bestFit="1" customWidth="1"/>
    <col min="9" max="9" width="9.296875" bestFit="1" customWidth="1"/>
  </cols>
  <sheetData>
    <row r="1" spans="1:8" x14ac:dyDescent="0.3">
      <c r="A1" s="200" t="s">
        <v>155</v>
      </c>
      <c r="B1" s="200"/>
      <c r="C1" s="200"/>
      <c r="D1" s="200"/>
      <c r="E1" s="200"/>
      <c r="F1" s="200"/>
    </row>
    <row r="2" spans="1:8" x14ac:dyDescent="0.3">
      <c r="A2" s="186" t="s">
        <v>156</v>
      </c>
      <c r="B2" s="186"/>
      <c r="C2" s="186"/>
      <c r="D2" s="186"/>
      <c r="E2" s="186"/>
      <c r="F2" s="186"/>
    </row>
    <row r="3" spans="1:8" x14ac:dyDescent="0.3">
      <c r="A3" s="9"/>
      <c r="B3" s="8" t="s">
        <v>205</v>
      </c>
      <c r="C3" s="8" t="s">
        <v>246</v>
      </c>
      <c r="D3" s="8" t="s">
        <v>207</v>
      </c>
      <c r="E3" s="8" t="s">
        <v>247</v>
      </c>
      <c r="F3" s="8" t="s">
        <v>249</v>
      </c>
      <c r="H3" s="8" t="s">
        <v>355</v>
      </c>
    </row>
    <row r="4" spans="1:8" x14ac:dyDescent="0.3">
      <c r="A4" s="9"/>
      <c r="B4" s="8" t="s">
        <v>208</v>
      </c>
      <c r="C4" s="9"/>
      <c r="D4" s="9"/>
      <c r="E4" s="9"/>
      <c r="F4" s="9"/>
    </row>
    <row r="5" spans="1:8" x14ac:dyDescent="0.3">
      <c r="A5" s="9"/>
      <c r="B5" s="9" t="s">
        <v>1</v>
      </c>
      <c r="C5" s="9"/>
      <c r="D5" s="9"/>
      <c r="E5" s="9"/>
      <c r="F5" s="9"/>
    </row>
    <row r="6" spans="1:8" x14ac:dyDescent="0.3">
      <c r="A6" s="9"/>
      <c r="B6" s="9" t="s">
        <v>250</v>
      </c>
      <c r="C6" s="13">
        <v>540000</v>
      </c>
      <c r="D6" s="13"/>
      <c r="E6" s="9" t="s">
        <v>251</v>
      </c>
      <c r="F6" s="13">
        <f>C6*1.02</f>
        <v>550800</v>
      </c>
    </row>
    <row r="7" spans="1:8" ht="16" x14ac:dyDescent="0.45">
      <c r="A7" s="9"/>
      <c r="B7" s="9" t="s">
        <v>252</v>
      </c>
      <c r="C7" s="24">
        <v>840000</v>
      </c>
      <c r="D7" s="24"/>
      <c r="E7" s="9" t="s">
        <v>253</v>
      </c>
      <c r="F7" s="24">
        <f>C7*1.01</f>
        <v>848400</v>
      </c>
    </row>
    <row r="8" spans="1:8" ht="16" x14ac:dyDescent="0.45">
      <c r="A8" s="9"/>
      <c r="B8" s="9" t="s">
        <v>78</v>
      </c>
      <c r="C8" s="24">
        <f>C6+C7</f>
        <v>1380000</v>
      </c>
      <c r="D8" s="13"/>
      <c r="E8" s="9"/>
      <c r="F8" s="24">
        <f>F6+F7</f>
        <v>1399200</v>
      </c>
    </row>
    <row r="9" spans="1:8" x14ac:dyDescent="0.3">
      <c r="A9" s="9"/>
      <c r="B9" s="9" t="s">
        <v>210</v>
      </c>
      <c r="C9" s="13"/>
      <c r="D9" s="13"/>
      <c r="E9" s="9"/>
      <c r="F9" s="13"/>
    </row>
    <row r="10" spans="1:8" x14ac:dyDescent="0.3">
      <c r="A10" s="9"/>
      <c r="B10" s="9" t="s">
        <v>2</v>
      </c>
      <c r="C10" s="11">
        <v>2000</v>
      </c>
      <c r="D10" s="11"/>
      <c r="E10" s="9"/>
      <c r="F10" s="11">
        <v>2000</v>
      </c>
    </row>
    <row r="11" spans="1:8" x14ac:dyDescent="0.3">
      <c r="A11" s="9"/>
      <c r="B11" s="9" t="s">
        <v>3</v>
      </c>
      <c r="C11" s="13">
        <v>18000</v>
      </c>
      <c r="D11" s="13"/>
      <c r="E11" s="9"/>
      <c r="F11" s="13">
        <v>20000</v>
      </c>
    </row>
    <row r="12" spans="1:8" x14ac:dyDescent="0.3">
      <c r="A12" s="9"/>
      <c r="B12" s="9" t="s">
        <v>4</v>
      </c>
      <c r="C12" s="13">
        <v>0</v>
      </c>
      <c r="D12" s="13"/>
      <c r="E12" s="9"/>
      <c r="F12" s="13">
        <v>0</v>
      </c>
    </row>
    <row r="13" spans="1:8" ht="16" x14ac:dyDescent="0.45">
      <c r="A13" s="9"/>
      <c r="B13" s="9" t="s">
        <v>34</v>
      </c>
      <c r="C13" s="13">
        <v>50000</v>
      </c>
      <c r="D13" s="24"/>
      <c r="E13" s="9" t="s">
        <v>254</v>
      </c>
      <c r="F13" s="13">
        <f>C13*1.02</f>
        <v>51000</v>
      </c>
    </row>
    <row r="14" spans="1:8" ht="16" x14ac:dyDescent="0.45">
      <c r="A14" s="9"/>
      <c r="B14" s="9" t="s">
        <v>255</v>
      </c>
      <c r="C14" s="13">
        <v>0</v>
      </c>
      <c r="D14" s="25"/>
      <c r="E14" s="9"/>
      <c r="F14" s="13">
        <v>0</v>
      </c>
    </row>
    <row r="15" spans="1:8" ht="16" x14ac:dyDescent="0.45">
      <c r="A15" s="9"/>
      <c r="B15" s="9" t="s">
        <v>256</v>
      </c>
      <c r="C15" s="13">
        <v>0</v>
      </c>
      <c r="D15" s="25"/>
      <c r="E15" s="9"/>
      <c r="F15" s="13">
        <v>0</v>
      </c>
    </row>
    <row r="16" spans="1:8" ht="16" x14ac:dyDescent="0.45">
      <c r="A16" s="9"/>
      <c r="B16" s="9" t="s">
        <v>5</v>
      </c>
      <c r="C16" s="24">
        <v>0</v>
      </c>
      <c r="D16" s="25"/>
      <c r="E16" s="9"/>
      <c r="F16" s="24">
        <v>0</v>
      </c>
    </row>
    <row r="17" spans="1:8" ht="16" x14ac:dyDescent="0.45">
      <c r="A17" s="9"/>
      <c r="B17" s="9" t="s">
        <v>6</v>
      </c>
      <c r="C17" s="25">
        <f>SUM(C10:C16)</f>
        <v>70000</v>
      </c>
      <c r="D17" s="25"/>
      <c r="E17" s="9"/>
      <c r="F17" s="25">
        <f>SUM(F10:F16)</f>
        <v>73000</v>
      </c>
    </row>
    <row r="18" spans="1:8" ht="16" x14ac:dyDescent="0.45">
      <c r="A18" s="9"/>
      <c r="B18" s="9"/>
      <c r="C18" s="25"/>
      <c r="D18" s="25"/>
      <c r="E18" s="9"/>
      <c r="F18" s="25"/>
    </row>
    <row r="19" spans="1:8" ht="16" x14ac:dyDescent="0.45">
      <c r="A19" s="17"/>
      <c r="B19" s="16" t="s">
        <v>220</v>
      </c>
      <c r="C19" s="53">
        <f>C8+C17</f>
        <v>1450000</v>
      </c>
      <c r="D19" s="53"/>
      <c r="E19" s="17"/>
      <c r="F19" s="53">
        <f>F8+F17</f>
        <v>1472200</v>
      </c>
    </row>
    <row r="20" spans="1:8" ht="16" x14ac:dyDescent="0.45">
      <c r="A20" s="9"/>
      <c r="B20" s="8"/>
      <c r="C20" s="25"/>
      <c r="D20" s="25"/>
      <c r="E20" s="9"/>
      <c r="F20" s="25"/>
    </row>
    <row r="21" spans="1:8" x14ac:dyDescent="0.3">
      <c r="A21" s="129"/>
      <c r="B21" s="130" t="s">
        <v>205</v>
      </c>
      <c r="C21" s="130" t="s">
        <v>246</v>
      </c>
      <c r="D21" s="130" t="s">
        <v>207</v>
      </c>
      <c r="E21" s="130" t="s">
        <v>247</v>
      </c>
      <c r="F21" s="130" t="s">
        <v>249</v>
      </c>
    </row>
    <row r="22" spans="1:8" x14ac:dyDescent="0.3">
      <c r="A22" s="9"/>
      <c r="B22" s="8" t="s">
        <v>221</v>
      </c>
      <c r="C22" s="13"/>
      <c r="D22" s="13"/>
      <c r="E22" s="9"/>
      <c r="F22" s="13"/>
    </row>
    <row r="23" spans="1:8" x14ac:dyDescent="0.3">
      <c r="A23" s="9"/>
      <c r="B23" s="9" t="s">
        <v>33</v>
      </c>
      <c r="C23" s="13"/>
      <c r="D23" s="13"/>
      <c r="E23" s="9"/>
      <c r="F23" s="13"/>
    </row>
    <row r="24" spans="1:8" x14ac:dyDescent="0.3">
      <c r="A24" s="9"/>
      <c r="B24" s="9" t="s">
        <v>34</v>
      </c>
      <c r="C24" s="11">
        <v>0</v>
      </c>
      <c r="D24" s="11"/>
      <c r="E24" s="9"/>
      <c r="F24" s="11">
        <v>0</v>
      </c>
    </row>
    <row r="25" spans="1:8" x14ac:dyDescent="0.3">
      <c r="A25" s="9"/>
      <c r="B25" s="9" t="s">
        <v>30</v>
      </c>
      <c r="C25" s="13">
        <f>32000*12</f>
        <v>384000</v>
      </c>
      <c r="D25" s="13" t="s">
        <v>197</v>
      </c>
      <c r="E25" s="9"/>
      <c r="F25" s="13">
        <f>32000*12</f>
        <v>384000</v>
      </c>
      <c r="H25" s="61"/>
    </row>
    <row r="26" spans="1:8" ht="16" x14ac:dyDescent="0.45">
      <c r="A26" s="9"/>
      <c r="B26" s="9" t="s">
        <v>81</v>
      </c>
      <c r="C26" s="24">
        <v>50000</v>
      </c>
      <c r="D26" s="13"/>
      <c r="E26" s="9" t="s">
        <v>257</v>
      </c>
      <c r="F26" s="24">
        <v>39500</v>
      </c>
      <c r="H26" s="13">
        <f>F26/12</f>
        <v>3291.6666666666665</v>
      </c>
    </row>
    <row r="27" spans="1:8" ht="16" x14ac:dyDescent="0.45">
      <c r="A27" s="9"/>
      <c r="B27" s="9" t="s">
        <v>37</v>
      </c>
      <c r="C27" s="25">
        <f>SUM(C24:C26)</f>
        <v>434000</v>
      </c>
      <c r="D27" s="24"/>
      <c r="E27" s="9"/>
      <c r="F27" s="25">
        <f>SUM(F24:F26)</f>
        <v>423500</v>
      </c>
      <c r="H27" s="13"/>
    </row>
    <row r="28" spans="1:8" x14ac:dyDescent="0.3">
      <c r="A28" s="9"/>
      <c r="B28" s="9" t="s">
        <v>38</v>
      </c>
      <c r="C28" s="13"/>
      <c r="D28" s="11"/>
      <c r="E28" s="9"/>
      <c r="F28" s="13"/>
      <c r="H28" s="13"/>
    </row>
    <row r="29" spans="1:8" x14ac:dyDescent="0.3">
      <c r="A29" s="9"/>
      <c r="B29" s="9" t="s">
        <v>39</v>
      </c>
      <c r="C29" s="11">
        <v>120000</v>
      </c>
      <c r="D29" s="13"/>
      <c r="E29" s="9"/>
      <c r="F29" s="11">
        <v>120000</v>
      </c>
      <c r="H29" s="13"/>
    </row>
    <row r="30" spans="1:8" x14ac:dyDescent="0.3">
      <c r="A30" s="9"/>
      <c r="B30" s="9" t="s">
        <v>41</v>
      </c>
      <c r="C30" s="13">
        <v>24000</v>
      </c>
      <c r="D30" s="11" t="s">
        <v>114</v>
      </c>
      <c r="E30" s="9" t="s">
        <v>258</v>
      </c>
      <c r="F30" s="13">
        <v>24000</v>
      </c>
      <c r="H30" s="13">
        <f>F30/12</f>
        <v>2000</v>
      </c>
    </row>
    <row r="31" spans="1:8" x14ac:dyDescent="0.3">
      <c r="A31" s="9"/>
      <c r="B31" s="9" t="s">
        <v>92</v>
      </c>
      <c r="C31" s="13">
        <v>6000</v>
      </c>
      <c r="D31" s="13" t="s">
        <v>93</v>
      </c>
      <c r="E31" s="9" t="s">
        <v>254</v>
      </c>
      <c r="F31" s="13">
        <f>C31*1.02</f>
        <v>6120</v>
      </c>
      <c r="H31" s="13">
        <f>F31/12</f>
        <v>510</v>
      </c>
    </row>
    <row r="32" spans="1:8" ht="16" x14ac:dyDescent="0.45">
      <c r="A32" s="9"/>
      <c r="B32" s="9" t="s">
        <v>42</v>
      </c>
      <c r="C32" s="24">
        <v>0</v>
      </c>
      <c r="D32" s="13"/>
      <c r="E32" s="9"/>
      <c r="F32" s="24">
        <v>0</v>
      </c>
      <c r="H32" s="13"/>
    </row>
    <row r="33" spans="1:8" ht="16" x14ac:dyDescent="0.45">
      <c r="A33" s="9"/>
      <c r="B33" s="9" t="s">
        <v>44</v>
      </c>
      <c r="C33" s="25">
        <f>SUM(C29:C32)</f>
        <v>150000</v>
      </c>
      <c r="D33" s="24"/>
      <c r="E33" s="9"/>
      <c r="F33" s="25">
        <f>SUM(F29:F32)</f>
        <v>150120</v>
      </c>
      <c r="H33" s="13"/>
    </row>
    <row r="34" spans="1:8" x14ac:dyDescent="0.3">
      <c r="A34" s="9"/>
      <c r="B34" s="9" t="s">
        <v>45</v>
      </c>
      <c r="C34" s="13"/>
      <c r="D34" s="11"/>
      <c r="E34" s="9"/>
      <c r="F34" s="13"/>
      <c r="H34" s="13"/>
    </row>
    <row r="35" spans="1:8" x14ac:dyDescent="0.3">
      <c r="A35" s="9"/>
      <c r="B35" s="9" t="s">
        <v>83</v>
      </c>
      <c r="C35" s="11">
        <v>144000</v>
      </c>
      <c r="D35" s="13" t="s">
        <v>116</v>
      </c>
      <c r="E35" s="9" t="s">
        <v>254</v>
      </c>
      <c r="F35" s="11">
        <f>C35*1.02</f>
        <v>146880</v>
      </c>
      <c r="H35" s="13">
        <f>F35/12</f>
        <v>12240</v>
      </c>
    </row>
    <row r="36" spans="1:8" x14ac:dyDescent="0.3">
      <c r="A36" s="9"/>
      <c r="B36" s="9" t="s">
        <v>48</v>
      </c>
      <c r="C36" s="13">
        <v>60000</v>
      </c>
      <c r="D36" s="11" t="s">
        <v>115</v>
      </c>
      <c r="E36" s="9" t="s">
        <v>254</v>
      </c>
      <c r="F36" s="13">
        <f>C36*1.02</f>
        <v>61200</v>
      </c>
      <c r="H36" s="13">
        <f>F36/12</f>
        <v>5100</v>
      </c>
    </row>
    <row r="37" spans="1:8" x14ac:dyDescent="0.3">
      <c r="A37" s="9"/>
      <c r="B37" s="9" t="s">
        <v>82</v>
      </c>
      <c r="C37" s="13">
        <v>24000</v>
      </c>
      <c r="D37" s="13" t="s">
        <v>114</v>
      </c>
      <c r="E37" s="9" t="s">
        <v>258</v>
      </c>
      <c r="F37" s="13">
        <v>24000</v>
      </c>
      <c r="H37" s="13">
        <f>F37/12</f>
        <v>2000</v>
      </c>
    </row>
    <row r="38" spans="1:8" ht="16" x14ac:dyDescent="0.45">
      <c r="A38" s="9"/>
      <c r="B38" s="9" t="s">
        <v>5</v>
      </c>
      <c r="C38" s="24">
        <v>0</v>
      </c>
      <c r="D38" s="13"/>
      <c r="E38" s="9"/>
      <c r="F38" s="24">
        <v>0</v>
      </c>
      <c r="H38" s="13"/>
    </row>
    <row r="39" spans="1:8" ht="16" x14ac:dyDescent="0.45">
      <c r="A39" s="9"/>
      <c r="B39" s="9" t="s">
        <v>50</v>
      </c>
      <c r="C39" s="25">
        <f>SUM(C35:C38)</f>
        <v>228000</v>
      </c>
      <c r="D39" s="24"/>
      <c r="E39" s="9"/>
      <c r="F39" s="25">
        <f>SUM(F35:F38)</f>
        <v>232080</v>
      </c>
      <c r="H39" s="13"/>
    </row>
    <row r="40" spans="1:8" x14ac:dyDescent="0.3">
      <c r="A40" s="9"/>
      <c r="B40" s="9" t="s">
        <v>213</v>
      </c>
      <c r="C40" s="13"/>
      <c r="D40" s="9"/>
      <c r="E40" s="9"/>
      <c r="F40" s="13"/>
      <c r="H40" s="13"/>
    </row>
    <row r="41" spans="1:8" x14ac:dyDescent="0.3">
      <c r="A41" s="9"/>
      <c r="B41" s="9" t="s">
        <v>111</v>
      </c>
      <c r="C41" s="11">
        <v>12000</v>
      </c>
      <c r="D41" s="48" t="s">
        <v>223</v>
      </c>
      <c r="E41" s="9" t="s">
        <v>259</v>
      </c>
      <c r="F41" s="11">
        <v>9000</v>
      </c>
      <c r="H41" s="13">
        <f>F41/12</f>
        <v>750</v>
      </c>
    </row>
    <row r="42" spans="1:8" x14ac:dyDescent="0.3">
      <c r="A42" s="9"/>
      <c r="B42" s="9" t="s">
        <v>35</v>
      </c>
      <c r="C42" s="13">
        <f>1100*12</f>
        <v>13200</v>
      </c>
      <c r="D42" s="48" t="s">
        <v>224</v>
      </c>
      <c r="E42" s="9" t="s">
        <v>260</v>
      </c>
      <c r="F42" s="11">
        <v>0</v>
      </c>
      <c r="H42" s="13"/>
    </row>
    <row r="43" spans="1:8" x14ac:dyDescent="0.3">
      <c r="A43" s="9"/>
      <c r="B43" s="9" t="s">
        <v>99</v>
      </c>
      <c r="C43" s="13">
        <v>3600</v>
      </c>
      <c r="D43" s="11" t="s">
        <v>85</v>
      </c>
      <c r="E43" s="9"/>
      <c r="F43" s="11">
        <v>3600</v>
      </c>
      <c r="H43" s="13">
        <f>F43/12</f>
        <v>300</v>
      </c>
    </row>
    <row r="44" spans="1:8" x14ac:dyDescent="0.3">
      <c r="A44" s="9"/>
      <c r="B44" s="9" t="s">
        <v>36</v>
      </c>
      <c r="C44" s="13">
        <v>20000</v>
      </c>
      <c r="D44" s="11"/>
      <c r="E44" s="9" t="s">
        <v>259</v>
      </c>
      <c r="F44" s="11">
        <v>15000</v>
      </c>
      <c r="H44" s="13">
        <f>F44/12</f>
        <v>1250</v>
      </c>
    </row>
    <row r="45" spans="1:8" ht="16" x14ac:dyDescent="0.45">
      <c r="A45" s="9"/>
      <c r="B45" s="9" t="s">
        <v>100</v>
      </c>
      <c r="C45" s="24">
        <v>0</v>
      </c>
      <c r="D45" s="11"/>
      <c r="E45" s="9"/>
      <c r="F45" s="24">
        <v>0</v>
      </c>
      <c r="H45" s="13"/>
    </row>
    <row r="46" spans="1:8" ht="16" x14ac:dyDescent="0.45">
      <c r="A46" s="17"/>
      <c r="B46" s="17" t="s">
        <v>40</v>
      </c>
      <c r="C46" s="53">
        <f>SUM(C41:C45)</f>
        <v>48800</v>
      </c>
      <c r="D46" s="17"/>
      <c r="E46" s="17"/>
      <c r="F46" s="53">
        <f>SUM(F41:F45)</f>
        <v>27600</v>
      </c>
      <c r="H46" s="13"/>
    </row>
    <row r="47" spans="1:8" ht="16" x14ac:dyDescent="0.45">
      <c r="A47" s="9"/>
      <c r="B47" s="9"/>
      <c r="C47" s="25"/>
      <c r="D47" s="9"/>
      <c r="E47" s="9"/>
      <c r="F47" s="25"/>
      <c r="H47" s="13"/>
    </row>
    <row r="48" spans="1:8" x14ac:dyDescent="0.3">
      <c r="A48" s="129"/>
      <c r="B48" s="130" t="s">
        <v>205</v>
      </c>
      <c r="C48" s="130" t="s">
        <v>246</v>
      </c>
      <c r="D48" s="130" t="s">
        <v>207</v>
      </c>
      <c r="E48" s="130" t="s">
        <v>247</v>
      </c>
      <c r="F48" s="130" t="s">
        <v>249</v>
      </c>
      <c r="H48" s="13"/>
    </row>
    <row r="49" spans="1:8" x14ac:dyDescent="0.3">
      <c r="A49" s="9"/>
      <c r="B49" s="9" t="s">
        <v>248</v>
      </c>
      <c r="C49" s="13"/>
      <c r="D49" s="11"/>
      <c r="E49" s="9"/>
      <c r="F49" s="13"/>
      <c r="H49" s="13"/>
    </row>
    <row r="50" spans="1:8" x14ac:dyDescent="0.3">
      <c r="A50" s="9"/>
      <c r="B50" s="9" t="s">
        <v>110</v>
      </c>
      <c r="C50" s="11">
        <v>12000</v>
      </c>
      <c r="D50" s="47" t="s">
        <v>223</v>
      </c>
      <c r="E50" s="9"/>
      <c r="F50" s="11">
        <v>12000</v>
      </c>
      <c r="H50" s="13">
        <f>F50/12</f>
        <v>1000</v>
      </c>
    </row>
    <row r="51" spans="1:8" x14ac:dyDescent="0.3">
      <c r="A51" s="9"/>
      <c r="B51" s="9" t="s">
        <v>84</v>
      </c>
      <c r="C51" s="13">
        <v>7200</v>
      </c>
      <c r="D51" s="11" t="s">
        <v>87</v>
      </c>
      <c r="E51" s="9"/>
      <c r="F51" s="13">
        <v>7200</v>
      </c>
      <c r="H51" s="13">
        <f t="shared" ref="H51:H54" si="0">F51/12</f>
        <v>600</v>
      </c>
    </row>
    <row r="52" spans="1:8" x14ac:dyDescent="0.3">
      <c r="A52" s="9"/>
      <c r="B52" s="9" t="s">
        <v>89</v>
      </c>
      <c r="C52" s="13">
        <v>3600</v>
      </c>
      <c r="D52" s="13" t="s">
        <v>85</v>
      </c>
      <c r="E52" s="9"/>
      <c r="F52" s="13">
        <v>3600</v>
      </c>
      <c r="H52" s="13">
        <f t="shared" si="0"/>
        <v>300</v>
      </c>
    </row>
    <row r="53" spans="1:8" x14ac:dyDescent="0.3">
      <c r="A53" s="9"/>
      <c r="B53" s="9" t="s">
        <v>54</v>
      </c>
      <c r="C53" s="13">
        <v>2400</v>
      </c>
      <c r="D53" s="13" t="s">
        <v>86</v>
      </c>
      <c r="E53" s="9"/>
      <c r="F53" s="13">
        <v>2400</v>
      </c>
      <c r="H53" s="13">
        <f t="shared" si="0"/>
        <v>200</v>
      </c>
    </row>
    <row r="54" spans="1:8" x14ac:dyDescent="0.3">
      <c r="A54" s="9"/>
      <c r="B54" s="9" t="s">
        <v>90</v>
      </c>
      <c r="C54" s="13">
        <f>1300*12</f>
        <v>15600</v>
      </c>
      <c r="D54" s="13" t="s">
        <v>91</v>
      </c>
      <c r="E54" s="9" t="s">
        <v>261</v>
      </c>
      <c r="F54" s="13">
        <v>14400</v>
      </c>
      <c r="H54" s="13">
        <f t="shared" si="0"/>
        <v>1200</v>
      </c>
    </row>
    <row r="55" spans="1:8" x14ac:dyDescent="0.3">
      <c r="A55" s="9"/>
      <c r="B55" s="9" t="s">
        <v>88</v>
      </c>
      <c r="C55" s="13">
        <v>0</v>
      </c>
      <c r="D55" s="13"/>
      <c r="E55" s="9"/>
      <c r="F55" s="13">
        <v>0</v>
      </c>
      <c r="H55" s="13"/>
    </row>
    <row r="56" spans="1:8" ht="16" x14ac:dyDescent="0.45">
      <c r="A56" s="9"/>
      <c r="B56" s="9" t="s">
        <v>5</v>
      </c>
      <c r="C56" s="24">
        <v>0</v>
      </c>
      <c r="D56" s="13"/>
      <c r="E56" s="9"/>
      <c r="F56" s="24">
        <v>0</v>
      </c>
      <c r="H56" s="13"/>
    </row>
    <row r="57" spans="1:8" ht="16" x14ac:dyDescent="0.45">
      <c r="A57" s="9"/>
      <c r="B57" s="14" t="s">
        <v>55</v>
      </c>
      <c r="C57" s="20">
        <f>SUM(C50:C56)</f>
        <v>40800</v>
      </c>
      <c r="D57" s="24"/>
      <c r="E57" s="9"/>
      <c r="F57" s="20">
        <f>SUM(F50:F56)</f>
        <v>39600</v>
      </c>
      <c r="H57" s="13"/>
    </row>
    <row r="58" spans="1:8" x14ac:dyDescent="0.3">
      <c r="A58" s="9"/>
      <c r="B58" s="9" t="s">
        <v>209</v>
      </c>
      <c r="C58" s="13"/>
      <c r="D58" s="8"/>
      <c r="E58" s="9"/>
      <c r="F58" s="13"/>
      <c r="H58" s="13"/>
    </row>
    <row r="59" spans="1:8" x14ac:dyDescent="0.3">
      <c r="A59" s="9"/>
      <c r="B59" s="9" t="s">
        <v>95</v>
      </c>
      <c r="C59" s="13">
        <v>27000</v>
      </c>
      <c r="D59" s="64"/>
      <c r="E59" s="9" t="s">
        <v>262</v>
      </c>
      <c r="F59" s="13">
        <v>29000</v>
      </c>
      <c r="H59" s="13"/>
    </row>
    <row r="60" spans="1:8" x14ac:dyDescent="0.3">
      <c r="A60" s="9"/>
      <c r="B60" s="9" t="s">
        <v>94</v>
      </c>
      <c r="C60" s="13">
        <v>6000</v>
      </c>
      <c r="D60" s="9"/>
      <c r="E60" s="9"/>
      <c r="F60" s="13">
        <v>6000</v>
      </c>
      <c r="H60" s="13"/>
    </row>
    <row r="61" spans="1:8" ht="16" x14ac:dyDescent="0.45">
      <c r="A61" s="9"/>
      <c r="B61" s="9" t="s">
        <v>217</v>
      </c>
      <c r="C61" s="24">
        <v>12000</v>
      </c>
      <c r="D61" s="9"/>
      <c r="E61" s="9"/>
      <c r="F61" s="24">
        <v>12000</v>
      </c>
      <c r="H61" s="13"/>
    </row>
    <row r="62" spans="1:8" ht="16" x14ac:dyDescent="0.45">
      <c r="A62" s="9"/>
      <c r="B62" s="9" t="s">
        <v>31</v>
      </c>
      <c r="C62" s="25">
        <f>SUM(C59:C61)</f>
        <v>45000</v>
      </c>
      <c r="D62" s="9"/>
      <c r="E62" s="9"/>
      <c r="F62" s="25">
        <f>SUM(F59:F61)</f>
        <v>47000</v>
      </c>
      <c r="H62" s="13"/>
    </row>
    <row r="63" spans="1:8" x14ac:dyDescent="0.3">
      <c r="A63" s="9"/>
      <c r="B63" s="9" t="s">
        <v>211</v>
      </c>
      <c r="C63" s="13"/>
      <c r="D63" s="9"/>
      <c r="E63" s="9"/>
      <c r="F63" s="13"/>
      <c r="H63" s="13"/>
    </row>
    <row r="64" spans="1:8" x14ac:dyDescent="0.3">
      <c r="A64" s="9"/>
      <c r="B64" s="9" t="s">
        <v>96</v>
      </c>
      <c r="C64" s="50">
        <f>29000</f>
        <v>29000</v>
      </c>
      <c r="D64" s="9"/>
      <c r="E64" s="9"/>
      <c r="F64" s="50">
        <f>29000</f>
        <v>29000</v>
      </c>
      <c r="H64" s="13">
        <f t="shared" ref="H64:H66" si="1">F64/12</f>
        <v>2416.6666666666665</v>
      </c>
    </row>
    <row r="65" spans="1:8" x14ac:dyDescent="0.3">
      <c r="A65" s="9"/>
      <c r="B65" s="9" t="s">
        <v>218</v>
      </c>
      <c r="C65" s="50">
        <v>22000</v>
      </c>
      <c r="D65" s="9"/>
      <c r="E65" s="9"/>
      <c r="F65" s="50">
        <v>22000</v>
      </c>
      <c r="H65" s="13">
        <f t="shared" si="1"/>
        <v>1833.3333333333333</v>
      </c>
    </row>
    <row r="66" spans="1:8" x14ac:dyDescent="0.3">
      <c r="A66" s="9"/>
      <c r="B66" s="9" t="s">
        <v>113</v>
      </c>
      <c r="C66" s="13">
        <v>60000</v>
      </c>
      <c r="D66" s="46" t="s">
        <v>225</v>
      </c>
      <c r="E66" s="9"/>
      <c r="F66" s="13">
        <v>60000</v>
      </c>
      <c r="H66" s="13">
        <f t="shared" si="1"/>
        <v>5000</v>
      </c>
    </row>
    <row r="67" spans="1:8" x14ac:dyDescent="0.3">
      <c r="A67" s="9"/>
      <c r="B67" s="9" t="s">
        <v>98</v>
      </c>
      <c r="C67" s="13">
        <v>3000</v>
      </c>
      <c r="D67" s="9"/>
      <c r="E67" s="9"/>
      <c r="F67" s="13">
        <v>3000</v>
      </c>
      <c r="H67" s="13"/>
    </row>
    <row r="68" spans="1:8" x14ac:dyDescent="0.3">
      <c r="A68" s="9"/>
      <c r="B68" s="9" t="s">
        <v>97</v>
      </c>
      <c r="C68" s="13">
        <v>5000</v>
      </c>
      <c r="D68" s="9"/>
      <c r="E68" s="9"/>
      <c r="F68" s="13">
        <v>5000</v>
      </c>
      <c r="H68" s="13"/>
    </row>
    <row r="69" spans="1:8" ht="15" x14ac:dyDescent="0.35">
      <c r="A69" s="9"/>
      <c r="B69" s="9" t="s">
        <v>152</v>
      </c>
      <c r="C69" s="13">
        <v>17000</v>
      </c>
      <c r="D69" s="9"/>
      <c r="E69" s="9"/>
      <c r="F69" s="13">
        <v>17000</v>
      </c>
      <c r="H69" s="13"/>
    </row>
    <row r="70" spans="1:8" ht="16" x14ac:dyDescent="0.45">
      <c r="A70" s="9"/>
      <c r="B70" s="9" t="s">
        <v>5</v>
      </c>
      <c r="C70" s="24">
        <v>0</v>
      </c>
      <c r="D70" s="9"/>
      <c r="E70" s="9"/>
      <c r="F70" s="24">
        <v>0</v>
      </c>
      <c r="H70" s="13"/>
    </row>
    <row r="71" spans="1:8" ht="16" x14ac:dyDescent="0.45">
      <c r="A71" s="17"/>
      <c r="B71" s="17" t="s">
        <v>32</v>
      </c>
      <c r="C71" s="53">
        <f>SUM(C64:C70)</f>
        <v>136000</v>
      </c>
      <c r="D71" s="17"/>
      <c r="E71" s="17"/>
      <c r="F71" s="53">
        <f>SUM(F64:F70)</f>
        <v>136000</v>
      </c>
      <c r="H71" s="13"/>
    </row>
    <row r="72" spans="1:8" ht="16" x14ac:dyDescent="0.45">
      <c r="A72" s="9"/>
      <c r="B72" s="9"/>
      <c r="C72" s="25"/>
      <c r="D72" s="9"/>
      <c r="E72" s="9"/>
      <c r="F72" s="25"/>
      <c r="H72" s="13"/>
    </row>
    <row r="73" spans="1:8" x14ac:dyDescent="0.3">
      <c r="A73" s="129"/>
      <c r="B73" s="130" t="s">
        <v>205</v>
      </c>
      <c r="C73" s="130" t="s">
        <v>246</v>
      </c>
      <c r="D73" s="130" t="s">
        <v>207</v>
      </c>
      <c r="E73" s="130" t="s">
        <v>247</v>
      </c>
      <c r="F73" s="130" t="s">
        <v>249</v>
      </c>
      <c r="H73" s="13"/>
    </row>
    <row r="74" spans="1:8" x14ac:dyDescent="0.3">
      <c r="A74" s="9"/>
      <c r="B74" s="9" t="s">
        <v>214</v>
      </c>
      <c r="C74" s="13"/>
      <c r="D74" s="9"/>
      <c r="E74" s="9"/>
      <c r="F74" s="13"/>
      <c r="H74" s="13"/>
    </row>
    <row r="75" spans="1:8" x14ac:dyDescent="0.3">
      <c r="A75" s="9"/>
      <c r="B75" s="9" t="s">
        <v>101</v>
      </c>
      <c r="C75" s="11">
        <v>30000</v>
      </c>
      <c r="D75" s="46" t="s">
        <v>226</v>
      </c>
      <c r="E75" s="46" t="s">
        <v>265</v>
      </c>
      <c r="F75" s="11">
        <v>26000</v>
      </c>
      <c r="H75" s="13"/>
    </row>
    <row r="76" spans="1:8" x14ac:dyDescent="0.3">
      <c r="A76" s="9"/>
      <c r="B76" s="9" t="s">
        <v>43</v>
      </c>
      <c r="C76" s="13">
        <v>8000</v>
      </c>
      <c r="D76" s="46" t="s">
        <v>227</v>
      </c>
      <c r="E76" s="9" t="s">
        <v>254</v>
      </c>
      <c r="F76" s="11">
        <f>C76*1.02</f>
        <v>8160</v>
      </c>
      <c r="H76" s="13">
        <f>F76/4</f>
        <v>2040</v>
      </c>
    </row>
    <row r="77" spans="1:8" ht="16" x14ac:dyDescent="0.45">
      <c r="A77" s="9"/>
      <c r="B77" s="9" t="s">
        <v>5</v>
      </c>
      <c r="C77" s="24">
        <v>0</v>
      </c>
      <c r="D77" s="9"/>
      <c r="E77" s="9"/>
      <c r="F77" s="24">
        <v>0</v>
      </c>
      <c r="H77" s="13"/>
    </row>
    <row r="78" spans="1:8" ht="16" x14ac:dyDescent="0.45">
      <c r="A78" s="9"/>
      <c r="B78" s="9" t="s">
        <v>46</v>
      </c>
      <c r="C78" s="25">
        <f>SUM(C75:C77)</f>
        <v>38000</v>
      </c>
      <c r="D78" s="9"/>
      <c r="E78" s="9"/>
      <c r="F78" s="25">
        <f>SUM(F75:F77)</f>
        <v>34160</v>
      </c>
      <c r="H78" s="13"/>
    </row>
    <row r="79" spans="1:8" x14ac:dyDescent="0.3">
      <c r="A79" s="9"/>
      <c r="B79" s="9" t="s">
        <v>103</v>
      </c>
      <c r="C79" s="9"/>
      <c r="D79" s="9"/>
      <c r="E79" s="9"/>
      <c r="F79" s="9"/>
      <c r="H79" s="13"/>
    </row>
    <row r="80" spans="1:8" x14ac:dyDescent="0.3">
      <c r="A80" s="9"/>
      <c r="B80" s="9" t="s">
        <v>105</v>
      </c>
      <c r="C80" s="11">
        <v>10000</v>
      </c>
      <c r="D80" s="9"/>
      <c r="E80" s="9" t="s">
        <v>254</v>
      </c>
      <c r="F80" s="11">
        <f>C80*1.02</f>
        <v>10200</v>
      </c>
      <c r="H80" s="13"/>
    </row>
    <row r="81" spans="1:10" x14ac:dyDescent="0.3">
      <c r="A81" s="9"/>
      <c r="B81" s="9" t="s">
        <v>104</v>
      </c>
      <c r="C81" s="11">
        <v>120000</v>
      </c>
      <c r="D81" s="9" t="s">
        <v>264</v>
      </c>
      <c r="E81" s="9" t="s">
        <v>254</v>
      </c>
      <c r="F81" s="11">
        <f>C81*1.02</f>
        <v>122400</v>
      </c>
      <c r="H81" s="13">
        <f>F81/12</f>
        <v>10200</v>
      </c>
    </row>
    <row r="82" spans="1:10" ht="16" x14ac:dyDescent="0.45">
      <c r="A82" s="9"/>
      <c r="B82" s="9" t="s">
        <v>108</v>
      </c>
      <c r="C82" s="24">
        <v>0</v>
      </c>
      <c r="D82" s="9"/>
      <c r="E82" s="9"/>
      <c r="F82" s="24">
        <v>0</v>
      </c>
      <c r="H82" s="13"/>
    </row>
    <row r="83" spans="1:10" ht="16" x14ac:dyDescent="0.45">
      <c r="A83" s="9"/>
      <c r="B83" s="9" t="s">
        <v>107</v>
      </c>
      <c r="C83" s="25">
        <f>SUM(C80:C82)</f>
        <v>130000</v>
      </c>
      <c r="D83" s="9"/>
      <c r="E83" s="9"/>
      <c r="F83" s="25">
        <f>SUM(F80:F82)</f>
        <v>132600</v>
      </c>
      <c r="H83" s="13"/>
    </row>
    <row r="84" spans="1:10" x14ac:dyDescent="0.3">
      <c r="A84" s="9"/>
      <c r="B84" s="9" t="s">
        <v>47</v>
      </c>
      <c r="C84" s="13"/>
      <c r="D84" s="9"/>
      <c r="E84" s="9"/>
      <c r="F84" s="13"/>
      <c r="H84" s="13"/>
    </row>
    <row r="85" spans="1:10" x14ac:dyDescent="0.3">
      <c r="A85" s="9"/>
      <c r="B85" s="9" t="s">
        <v>102</v>
      </c>
      <c r="C85" s="11">
        <v>120000</v>
      </c>
      <c r="D85" s="46" t="s">
        <v>229</v>
      </c>
      <c r="E85" s="9"/>
      <c r="F85" s="11">
        <v>120000</v>
      </c>
      <c r="H85" s="13"/>
    </row>
    <row r="86" spans="1:10" x14ac:dyDescent="0.3">
      <c r="A86" s="9"/>
      <c r="B86" s="9" t="s">
        <v>109</v>
      </c>
      <c r="C86" s="11">
        <v>24000</v>
      </c>
      <c r="D86" s="46" t="s">
        <v>230</v>
      </c>
      <c r="E86" s="9"/>
      <c r="F86" s="11">
        <f>C86</f>
        <v>24000</v>
      </c>
      <c r="H86" s="13"/>
    </row>
    <row r="87" spans="1:10" x14ac:dyDescent="0.3">
      <c r="A87" s="9"/>
      <c r="B87" s="9" t="s">
        <v>112</v>
      </c>
      <c r="C87" s="11">
        <v>20000</v>
      </c>
      <c r="D87" s="9"/>
      <c r="E87" s="9" t="s">
        <v>263</v>
      </c>
      <c r="F87" s="11">
        <v>16000</v>
      </c>
      <c r="H87" s="13">
        <f>F87/12</f>
        <v>1333.3333333333333</v>
      </c>
    </row>
    <row r="88" spans="1:10" x14ac:dyDescent="0.3">
      <c r="A88" s="9"/>
      <c r="B88" s="9" t="s">
        <v>49</v>
      </c>
      <c r="C88" s="11">
        <v>12000</v>
      </c>
      <c r="D88" s="46" t="s">
        <v>231</v>
      </c>
      <c r="E88" s="9" t="s">
        <v>267</v>
      </c>
      <c r="F88" s="11">
        <v>7500</v>
      </c>
      <c r="H88" s="13">
        <f>7500/12</f>
        <v>625</v>
      </c>
    </row>
    <row r="89" spans="1:10" x14ac:dyDescent="0.3">
      <c r="A89" s="9"/>
      <c r="B89" s="9" t="s">
        <v>51</v>
      </c>
      <c r="C89" s="13">
        <v>0</v>
      </c>
      <c r="D89" s="9"/>
      <c r="E89" s="9"/>
      <c r="F89" s="13">
        <v>0</v>
      </c>
      <c r="H89" s="13"/>
    </row>
    <row r="90" spans="1:10" x14ac:dyDescent="0.3">
      <c r="A90" s="9"/>
      <c r="B90" s="9" t="s">
        <v>106</v>
      </c>
      <c r="C90" s="13">
        <v>0</v>
      </c>
      <c r="D90" s="9"/>
      <c r="E90" s="9"/>
      <c r="F90" s="13">
        <v>0</v>
      </c>
      <c r="H90" s="13"/>
    </row>
    <row r="91" spans="1:10" x14ac:dyDescent="0.3">
      <c r="A91" s="9"/>
      <c r="B91" s="9" t="s">
        <v>215</v>
      </c>
      <c r="C91" s="13">
        <v>6000</v>
      </c>
      <c r="D91" s="46" t="s">
        <v>219</v>
      </c>
      <c r="E91" s="9" t="s">
        <v>254</v>
      </c>
      <c r="F91" s="11">
        <f t="shared" ref="F91" si="2">C91*1.02</f>
        <v>6120</v>
      </c>
      <c r="H91" s="13"/>
    </row>
    <row r="92" spans="1:10" x14ac:dyDescent="0.3">
      <c r="A92" s="9"/>
      <c r="B92" s="9" t="s">
        <v>5</v>
      </c>
      <c r="C92" s="13">
        <v>0</v>
      </c>
      <c r="D92" s="9"/>
      <c r="E92" s="9"/>
      <c r="F92" s="13">
        <v>0</v>
      </c>
      <c r="H92" s="13"/>
    </row>
    <row r="93" spans="1:10" ht="16" x14ac:dyDescent="0.45">
      <c r="A93" s="9"/>
      <c r="B93" s="9" t="s">
        <v>53</v>
      </c>
      <c r="C93" s="25">
        <f>SUM(C85:C92)</f>
        <v>182000</v>
      </c>
      <c r="D93" s="9"/>
      <c r="E93" s="9"/>
      <c r="F93" s="25">
        <f>SUM(F85:F92)</f>
        <v>173620</v>
      </c>
      <c r="H93" s="13"/>
    </row>
    <row r="94" spans="1:10" ht="16" x14ac:dyDescent="0.45">
      <c r="A94" s="9"/>
      <c r="B94" s="44" t="s">
        <v>222</v>
      </c>
      <c r="C94" s="25">
        <f>C27 + C33+C39+  C57 + C62 + C71 + C46 +C78 + C83 + C93</f>
        <v>1432600</v>
      </c>
      <c r="D94" s="9"/>
      <c r="E94" s="9"/>
      <c r="F94" s="25">
        <f>F27 + F33+F39+  F57 + F62 + F71 + F46 +F78 + F83 + F93</f>
        <v>1396280</v>
      </c>
      <c r="H94" s="13"/>
    </row>
    <row r="95" spans="1:10" x14ac:dyDescent="0.3">
      <c r="A95" s="9"/>
      <c r="B95" s="9"/>
      <c r="C95" s="9"/>
      <c r="D95" s="9"/>
      <c r="E95" s="9"/>
      <c r="F95" s="9"/>
      <c r="H95" s="13"/>
    </row>
    <row r="96" spans="1:10" ht="16" x14ac:dyDescent="0.45">
      <c r="A96" s="17"/>
      <c r="B96" s="16" t="s">
        <v>216</v>
      </c>
      <c r="C96" s="74">
        <f>C19-C94</f>
        <v>17400</v>
      </c>
      <c r="D96" s="17"/>
      <c r="E96" s="17"/>
      <c r="F96" s="128">
        <f>F19-F94</f>
        <v>75920</v>
      </c>
      <c r="H96" s="13"/>
      <c r="I96" s="62"/>
      <c r="J96" s="62"/>
    </row>
  </sheetData>
  <mergeCells count="2">
    <mergeCell ref="A2:F2"/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說明</vt:lpstr>
      <vt:lpstr>個案背景設定</vt:lpstr>
      <vt:lpstr>理財目標費用終值</vt:lpstr>
      <vt:lpstr>資產負債表</vt:lpstr>
      <vt:lpstr>損益表</vt:lpstr>
      <vt:lpstr>終生收支線</vt:lpstr>
      <vt:lpstr>省著點花</vt:lpstr>
      <vt:lpstr>延後買車</vt:lpstr>
      <vt:lpstr>現金預算</vt:lpstr>
      <vt:lpstr>每月收支</vt:lpstr>
      <vt:lpstr>一年後</vt:lpstr>
      <vt:lpstr>壓力_勞退勞保降低</vt:lpstr>
      <vt:lpstr>壓力_保險金詐騙</vt:lpstr>
      <vt:lpstr>壓力_女兒啃老</vt:lpstr>
      <vt:lpstr>壓力_先生轉職</vt:lpstr>
      <vt:lpstr>測試_投資報酬增加</vt:lpstr>
      <vt:lpstr>壓力_先生受傷</vt:lpstr>
      <vt:lpstr>表格製作示範</vt:lpstr>
      <vt:lpstr>表格製作示範(空白)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2023-03-30T01:42:19Z</dcterms:modified>
</cp:coreProperties>
</file>